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3395" windowHeight="5700"/>
  </bookViews>
  <sheets>
    <sheet name="GUIDE" sheetId="10" r:id="rId1"/>
    <sheet name="SHORT CALL" sheetId="13" r:id="rId2"/>
    <sheet name="LONG CALL" sheetId="14" r:id="rId3"/>
    <sheet name="SHORT PUT" sheetId="11" r:id="rId4"/>
    <sheet name="LONG PUT" sheetId="12" r:id="rId5"/>
    <sheet name="Multiple Switches" sheetId="19" r:id="rId6"/>
    <sheet name="MS Correlation" sheetId="20" r:id="rId7"/>
    <sheet name="Single Switch" sheetId="18" r:id="rId8"/>
    <sheet name="Capacity Allocation, Vary Vol" sheetId="15" r:id="rId9"/>
    <sheet name="Capacity Allocation, Vary Fares" sheetId="23" r:id="rId10"/>
    <sheet name="SimpleNoShows" sheetId="30" r:id="rId11"/>
    <sheet name="SNS Vary Mean " sheetId="33" r:id="rId12"/>
    <sheet name="SNS Vary Vol" sheetId="31" r:id="rId13"/>
    <sheet name="SNS Vary COM" sheetId="32" r:id="rId14"/>
    <sheet name="Exercise 13.1" sheetId="21" r:id="rId15"/>
    <sheet name="Exercise 13.2" sheetId="25" r:id="rId16"/>
    <sheet name="Exercise 13.3" sheetId="34" r:id="rId17"/>
    <sheet name="Problem 13.4" sheetId="22" r:id="rId18"/>
    <sheet name="Problem 13.5" sheetId="26" r:id="rId19"/>
    <sheet name="Problem 13.6" sheetId="29" r:id="rId20"/>
  </sheets>
  <definedNames>
    <definedName name="solver_adj" localSheetId="14" hidden="1">'Exercise 13.1'!$C$22:$C$25</definedName>
    <definedName name="solver_adj" localSheetId="6" hidden="1">'MS Correlation'!$C$24:$G$31</definedName>
    <definedName name="solver_adj" localSheetId="5" hidden="1">'Multiple Switches'!$C$24:$C$31</definedName>
    <definedName name="solver_adj" localSheetId="17" hidden="1">'Problem 13.4'!$C$24:$C$31</definedName>
    <definedName name="solver_adj" localSheetId="7" hidden="1">'Single Switch'!$C$22:$C$25</definedName>
    <definedName name="solver_cvg" localSheetId="14" hidden="1">0.0001</definedName>
    <definedName name="solver_cvg" localSheetId="6" hidden="1">0.0001</definedName>
    <definedName name="solver_cvg" localSheetId="5" hidden="1">0.0001</definedName>
    <definedName name="solver_cvg" localSheetId="17" hidden="1">0.0001</definedName>
    <definedName name="solver_cvg" localSheetId="7" hidden="1">0.0001</definedName>
    <definedName name="solver_drv" localSheetId="14" hidden="1">1</definedName>
    <definedName name="solver_drv" localSheetId="6" hidden="1">1</definedName>
    <definedName name="solver_drv" localSheetId="5" hidden="1">1</definedName>
    <definedName name="solver_drv" localSheetId="17" hidden="1">1</definedName>
    <definedName name="solver_drv" localSheetId="7" hidden="1">1</definedName>
    <definedName name="solver_est" localSheetId="14" hidden="1">1</definedName>
    <definedName name="solver_est" localSheetId="6" hidden="1">1</definedName>
    <definedName name="solver_est" localSheetId="5" hidden="1">1</definedName>
    <definedName name="solver_est" localSheetId="17" hidden="1">1</definedName>
    <definedName name="solver_est" localSheetId="7" hidden="1">1</definedName>
    <definedName name="solver_itr" localSheetId="14" hidden="1">1000</definedName>
    <definedName name="solver_itr" localSheetId="6" hidden="1">1000</definedName>
    <definedName name="solver_itr" localSheetId="5" hidden="1">1000</definedName>
    <definedName name="solver_itr" localSheetId="17" hidden="1">1000</definedName>
    <definedName name="solver_itr" localSheetId="7" hidden="1">1000</definedName>
    <definedName name="solver_lhs1" localSheetId="14" hidden="1">'Exercise 13.1'!$C$27</definedName>
    <definedName name="solver_lhs1" localSheetId="6" hidden="1">'MS Correlation'!$C$33</definedName>
    <definedName name="solver_lhs1" localSheetId="5" hidden="1">'Multiple Switches'!$C$33</definedName>
    <definedName name="solver_lhs1" localSheetId="17" hidden="1">'Problem 13.4'!$C$33</definedName>
    <definedName name="solver_lhs1" localSheetId="7" hidden="1">'Single Switch'!$C$27</definedName>
    <definedName name="solver_lhs2" localSheetId="14" hidden="1">'Exercise 13.1'!$C$28:$C$30</definedName>
    <definedName name="solver_lhs2" localSheetId="6" hidden="1">'MS Correlation'!$C$33:$G$40</definedName>
    <definedName name="solver_lhs2" localSheetId="5" hidden="1">'Multiple Switches'!$C$34:$C$40</definedName>
    <definedName name="solver_lhs2" localSheetId="17" hidden="1">'Problem 13.4'!$C$34:$C$40</definedName>
    <definedName name="solver_lhs2" localSheetId="7" hidden="1">'Single Switch'!$C$28:$C$30</definedName>
    <definedName name="solver_lin" localSheetId="14" hidden="1">2</definedName>
    <definedName name="solver_lin" localSheetId="6" hidden="1">2</definedName>
    <definedName name="solver_lin" localSheetId="5" hidden="1">2</definedName>
    <definedName name="solver_lin" localSheetId="17" hidden="1">2</definedName>
    <definedName name="solver_lin" localSheetId="7" hidden="1">2</definedName>
    <definedName name="solver_neg" localSheetId="14" hidden="1">2</definedName>
    <definedName name="solver_neg" localSheetId="6" hidden="1">2</definedName>
    <definedName name="solver_neg" localSheetId="5" hidden="1">2</definedName>
    <definedName name="solver_neg" localSheetId="17" hidden="1">2</definedName>
    <definedName name="solver_neg" localSheetId="7" hidden="1">2</definedName>
    <definedName name="solver_num" localSheetId="14" hidden="1">2</definedName>
    <definedName name="solver_num" localSheetId="6" hidden="1">2</definedName>
    <definedName name="solver_num" localSheetId="5" hidden="1">2</definedName>
    <definedName name="solver_num" localSheetId="17" hidden="1">2</definedName>
    <definedName name="solver_num" localSheetId="7" hidden="1">2</definedName>
    <definedName name="solver_nwt" localSheetId="14" hidden="1">1</definedName>
    <definedName name="solver_nwt" localSheetId="6" hidden="1">1</definedName>
    <definedName name="solver_nwt" localSheetId="5" hidden="1">1</definedName>
    <definedName name="solver_nwt" localSheetId="17" hidden="1">1</definedName>
    <definedName name="solver_nwt" localSheetId="7" hidden="1">1</definedName>
    <definedName name="solver_opt" localSheetId="14" hidden="1">'Exercise 13.1'!$C$31</definedName>
    <definedName name="solver_opt" localSheetId="6" hidden="1">'MS Correlation'!$H$41</definedName>
    <definedName name="solver_opt" localSheetId="5" hidden="1">'Multiple Switches'!$C$41</definedName>
    <definedName name="solver_opt" localSheetId="17" hidden="1">'Problem 13.4'!$C$41</definedName>
    <definedName name="solver_opt" localSheetId="7" hidden="1">'Single Switch'!$C$31</definedName>
    <definedName name="solver_pre" localSheetId="14" hidden="1">0.000001</definedName>
    <definedName name="solver_pre" localSheetId="6" hidden="1">0.000001</definedName>
    <definedName name="solver_pre" localSheetId="5" hidden="1">0.000001</definedName>
    <definedName name="solver_pre" localSheetId="17" hidden="1">0.000001</definedName>
    <definedName name="solver_pre" localSheetId="7" hidden="1">0.000001</definedName>
    <definedName name="solver_rel1" localSheetId="14" hidden="1">2</definedName>
    <definedName name="solver_rel1" localSheetId="6" hidden="1">2</definedName>
    <definedName name="solver_rel1" localSheetId="5" hidden="1">2</definedName>
    <definedName name="solver_rel1" localSheetId="17" hidden="1">2</definedName>
    <definedName name="solver_rel1" localSheetId="7" hidden="1">2</definedName>
    <definedName name="solver_rel2" localSheetId="14" hidden="1">2</definedName>
    <definedName name="solver_rel2" localSheetId="6" hidden="1">2</definedName>
    <definedName name="solver_rel2" localSheetId="5" hidden="1">2</definedName>
    <definedName name="solver_rel2" localSheetId="17" hidden="1">2</definedName>
    <definedName name="solver_rel2" localSheetId="7" hidden="1">2</definedName>
    <definedName name="solver_rhs1" localSheetId="14" hidden="1">0</definedName>
    <definedName name="solver_rhs1" localSheetId="6" hidden="1">0</definedName>
    <definedName name="solver_rhs1" localSheetId="5" hidden="1">0</definedName>
    <definedName name="solver_rhs1" localSheetId="17" hidden="1">0</definedName>
    <definedName name="solver_rhs1" localSheetId="7" hidden="1">0</definedName>
    <definedName name="solver_rhs2" localSheetId="14" hidden="1">'Exercise 13.1'!$C$27</definedName>
    <definedName name="solver_rhs2" localSheetId="6" hidden="1">'MS Correlation'!$C$33</definedName>
    <definedName name="solver_rhs2" localSheetId="5" hidden="1">'Multiple Switches'!$C$33</definedName>
    <definedName name="solver_rhs2" localSheetId="17" hidden="1">'Problem 13.4'!$C$33</definedName>
    <definedName name="solver_rhs2" localSheetId="7" hidden="1">'Single Switch'!$C$27</definedName>
    <definedName name="solver_scl" localSheetId="14" hidden="1">2</definedName>
    <definedName name="solver_scl" localSheetId="6" hidden="1">2</definedName>
    <definedName name="solver_scl" localSheetId="5" hidden="1">2</definedName>
    <definedName name="solver_scl" localSheetId="17" hidden="1">2</definedName>
    <definedName name="solver_scl" localSheetId="7" hidden="1">2</definedName>
    <definedName name="solver_sho" localSheetId="14" hidden="1">2</definedName>
    <definedName name="solver_sho" localSheetId="6" hidden="1">2</definedName>
    <definedName name="solver_sho" localSheetId="5" hidden="1">2</definedName>
    <definedName name="solver_sho" localSheetId="17" hidden="1">2</definedName>
    <definedName name="solver_sho" localSheetId="7" hidden="1">2</definedName>
    <definedName name="solver_tim" localSheetId="14" hidden="1">100</definedName>
    <definedName name="solver_tim" localSheetId="6" hidden="1">100</definedName>
    <definedName name="solver_tim" localSheetId="5" hidden="1">100</definedName>
    <definedName name="solver_tim" localSheetId="17" hidden="1">100</definedName>
    <definedName name="solver_tim" localSheetId="7" hidden="1">100</definedName>
    <definedName name="solver_tol" localSheetId="14" hidden="1">0.05</definedName>
    <definedName name="solver_tol" localSheetId="6" hidden="1">0.05</definedName>
    <definedName name="solver_tol" localSheetId="5" hidden="1">0.05</definedName>
    <definedName name="solver_tol" localSheetId="17" hidden="1">0.05</definedName>
    <definedName name="solver_tol" localSheetId="7" hidden="1">0.05</definedName>
    <definedName name="solver_typ" localSheetId="14" hidden="1">3</definedName>
    <definedName name="solver_typ" localSheetId="6" hidden="1">2</definedName>
    <definedName name="solver_typ" localSheetId="5" hidden="1">2</definedName>
    <definedName name="solver_typ" localSheetId="17" hidden="1">3</definedName>
    <definedName name="solver_typ" localSheetId="7" hidden="1">3</definedName>
    <definedName name="solver_val" localSheetId="14" hidden="1">0</definedName>
    <definedName name="solver_val" localSheetId="6" hidden="1">0</definedName>
    <definedName name="solver_val" localSheetId="5" hidden="1">0</definedName>
    <definedName name="solver_val" localSheetId="17" hidden="1">0</definedName>
    <definedName name="solver_val" localSheetId="7" hidden="1">0</definedName>
  </definedNames>
  <calcPr calcId="125725"/>
</workbook>
</file>

<file path=xl/calcChain.xml><?xml version="1.0" encoding="utf-8"?>
<calcChain xmlns="http://schemas.openxmlformats.org/spreadsheetml/2006/main">
  <c r="C54" i="22"/>
  <c r="B7" i="34" l="1"/>
  <c r="B8" s="1"/>
  <c r="C6"/>
  <c r="D6" s="1"/>
  <c r="E6" s="1"/>
  <c r="F6" s="1"/>
  <c r="G6" s="1"/>
  <c r="H6" s="1"/>
  <c r="I6" s="1"/>
  <c r="C5"/>
  <c r="D5" s="1"/>
  <c r="C4"/>
  <c r="D4" s="1"/>
  <c r="C3"/>
  <c r="D3" s="1"/>
  <c r="E3" s="1"/>
  <c r="F3" s="1"/>
  <c r="G3" s="1"/>
  <c r="H3" s="1"/>
  <c r="I3" s="1"/>
  <c r="C2"/>
  <c r="D2" s="1"/>
  <c r="I10" i="33"/>
  <c r="H10"/>
  <c r="G10"/>
  <c r="F10"/>
  <c r="E10"/>
  <c r="D10"/>
  <c r="C10"/>
  <c r="J59" i="23"/>
  <c r="J32" s="1"/>
  <c r="I32"/>
  <c r="H32"/>
  <c r="G32"/>
  <c r="F32"/>
  <c r="E32"/>
  <c r="D32"/>
  <c r="C32"/>
  <c r="I59"/>
  <c r="H59"/>
  <c r="G59"/>
  <c r="F59"/>
  <c r="E59"/>
  <c r="D59"/>
  <c r="C59"/>
  <c r="B12" i="25"/>
  <c r="E5" i="34" l="1"/>
  <c r="E10" s="1"/>
  <c r="D10"/>
  <c r="C10"/>
  <c r="D7"/>
  <c r="D8" s="1"/>
  <c r="E2"/>
  <c r="E4"/>
  <c r="F5"/>
  <c r="F10" s="1"/>
  <c r="C7"/>
  <c r="C8" s="1"/>
  <c r="G5" l="1"/>
  <c r="G10" s="1"/>
  <c r="F4"/>
  <c r="F2"/>
  <c r="E7"/>
  <c r="E8" s="1"/>
  <c r="I7" i="29"/>
  <c r="H7"/>
  <c r="G7"/>
  <c r="F7"/>
  <c r="E7"/>
  <c r="D7"/>
  <c r="C7"/>
  <c r="B7"/>
  <c r="B8" s="1"/>
  <c r="C6"/>
  <c r="D6" s="1"/>
  <c r="E6" s="1"/>
  <c r="F6" s="1"/>
  <c r="G6" s="1"/>
  <c r="H6" s="1"/>
  <c r="I6" s="1"/>
  <c r="C5"/>
  <c r="D5" s="1"/>
  <c r="E5" s="1"/>
  <c r="F5" s="1"/>
  <c r="G5" s="1"/>
  <c r="H5" s="1"/>
  <c r="I5" s="1"/>
  <c r="D4"/>
  <c r="C4"/>
  <c r="C3"/>
  <c r="D3" s="1"/>
  <c r="E3" s="1"/>
  <c r="F3" s="1"/>
  <c r="G3" s="1"/>
  <c r="H3" s="1"/>
  <c r="I3" s="1"/>
  <c r="C2"/>
  <c r="B3" i="31"/>
  <c r="B7" s="1"/>
  <c r="B8" s="1"/>
  <c r="D6"/>
  <c r="E6" s="1"/>
  <c r="F6" s="1"/>
  <c r="G6" s="1"/>
  <c r="H6" s="1"/>
  <c r="I6" s="1"/>
  <c r="C5"/>
  <c r="D5" s="1"/>
  <c r="E5" s="1"/>
  <c r="F5" s="1"/>
  <c r="G5" s="1"/>
  <c r="H5" s="1"/>
  <c r="I5" s="1"/>
  <c r="C4"/>
  <c r="D4" s="1"/>
  <c r="C2"/>
  <c r="D2" s="1"/>
  <c r="I7" i="33"/>
  <c r="H7"/>
  <c r="G7"/>
  <c r="F7"/>
  <c r="E7"/>
  <c r="D7"/>
  <c r="C7"/>
  <c r="B7"/>
  <c r="E5"/>
  <c r="F5" s="1"/>
  <c r="G5" s="1"/>
  <c r="H5" s="1"/>
  <c r="I5" s="1"/>
  <c r="D5"/>
  <c r="C5"/>
  <c r="D3"/>
  <c r="E3" s="1"/>
  <c r="F3" s="1"/>
  <c r="G3" s="1"/>
  <c r="H3" s="1"/>
  <c r="I3" s="1"/>
  <c r="C3"/>
  <c r="B8"/>
  <c r="D6"/>
  <c r="E6" s="1"/>
  <c r="F6" s="1"/>
  <c r="G6" s="1"/>
  <c r="H6" s="1"/>
  <c r="I6" s="1"/>
  <c r="C6"/>
  <c r="D4"/>
  <c r="C4"/>
  <c r="D2"/>
  <c r="C2"/>
  <c r="D3" i="32"/>
  <c r="E3" s="1"/>
  <c r="F3" s="1"/>
  <c r="G3" s="1"/>
  <c r="H3" s="1"/>
  <c r="I3" s="1"/>
  <c r="C3"/>
  <c r="C6"/>
  <c r="D6" s="1"/>
  <c r="E6" s="1"/>
  <c r="F6" s="1"/>
  <c r="G6" s="1"/>
  <c r="H6" s="1"/>
  <c r="I6" s="1"/>
  <c r="C5"/>
  <c r="D5" s="1"/>
  <c r="E5" s="1"/>
  <c r="F5" s="1"/>
  <c r="G5" s="1"/>
  <c r="H5" s="1"/>
  <c r="I5" s="1"/>
  <c r="C4"/>
  <c r="C2"/>
  <c r="C7" s="1"/>
  <c r="B7"/>
  <c r="B8" s="1"/>
  <c r="B7" i="30"/>
  <c r="B8" s="1"/>
  <c r="D9" i="20"/>
  <c r="E9" s="1"/>
  <c r="F9" s="1"/>
  <c r="G9" s="1"/>
  <c r="D7"/>
  <c r="E7" s="1"/>
  <c r="F7" s="1"/>
  <c r="G7" s="1"/>
  <c r="C5" i="26"/>
  <c r="C9"/>
  <c r="C4" s="1"/>
  <c r="A14"/>
  <c r="D8"/>
  <c r="E8" s="1"/>
  <c r="F8" s="1"/>
  <c r="G8" s="1"/>
  <c r="C8"/>
  <c r="C7"/>
  <c r="B7"/>
  <c r="C3"/>
  <c r="B3"/>
  <c r="B2"/>
  <c r="B10" s="1"/>
  <c r="A11" i="25"/>
  <c r="C8"/>
  <c r="B7"/>
  <c r="C4"/>
  <c r="B3"/>
  <c r="B2" s="1"/>
  <c r="D7" i="15"/>
  <c r="E7" s="1"/>
  <c r="F7" s="1"/>
  <c r="G7" s="1"/>
  <c r="B4"/>
  <c r="C3"/>
  <c r="D3" s="1"/>
  <c r="E3" s="1"/>
  <c r="F3" s="1"/>
  <c r="G3" s="1"/>
  <c r="C4" i="23"/>
  <c r="B5"/>
  <c r="D8"/>
  <c r="E8" s="1"/>
  <c r="F8" s="1"/>
  <c r="G8" s="1"/>
  <c r="H8" s="1"/>
  <c r="I8" s="1"/>
  <c r="J8" s="1"/>
  <c r="C7"/>
  <c r="C3" s="1"/>
  <c r="B7"/>
  <c r="B3" s="1"/>
  <c r="C44" i="22"/>
  <c r="C43"/>
  <c r="C45" s="1"/>
  <c r="C40"/>
  <c r="C39"/>
  <c r="E23"/>
  <c r="D23"/>
  <c r="C23"/>
  <c r="E22"/>
  <c r="D22"/>
  <c r="C22"/>
  <c r="C20"/>
  <c r="C37" s="1"/>
  <c r="C19"/>
  <c r="C35" s="1"/>
  <c r="C18"/>
  <c r="C17"/>
  <c r="D15" i="20"/>
  <c r="E15" s="1"/>
  <c r="F15" s="1"/>
  <c r="G15" s="1"/>
  <c r="D12"/>
  <c r="E12" s="1"/>
  <c r="D11"/>
  <c r="E11" s="1"/>
  <c r="D8"/>
  <c r="D40" s="1"/>
  <c r="C44" i="19"/>
  <c r="C43"/>
  <c r="C45" s="1"/>
  <c r="C54"/>
  <c r="C16" i="21"/>
  <c r="C37"/>
  <c r="A36"/>
  <c r="A35"/>
  <c r="A34"/>
  <c r="A33"/>
  <c r="C30"/>
  <c r="C21"/>
  <c r="C20"/>
  <c r="C17"/>
  <c r="C15"/>
  <c r="G51" i="20"/>
  <c r="F51"/>
  <c r="E51"/>
  <c r="D51"/>
  <c r="D39"/>
  <c r="D23"/>
  <c r="D22"/>
  <c r="G20"/>
  <c r="G37" s="1"/>
  <c r="F20"/>
  <c r="E20"/>
  <c r="E37" s="1"/>
  <c r="D20"/>
  <c r="G19"/>
  <c r="G35" s="1"/>
  <c r="F19"/>
  <c r="F36" s="1"/>
  <c r="E19"/>
  <c r="E35" s="1"/>
  <c r="D19"/>
  <c r="D36" s="1"/>
  <c r="D18"/>
  <c r="D17"/>
  <c r="C51"/>
  <c r="C40"/>
  <c r="C39"/>
  <c r="C23"/>
  <c r="C22"/>
  <c r="C20"/>
  <c r="C19"/>
  <c r="C35" s="1"/>
  <c r="C18"/>
  <c r="C17"/>
  <c r="E23" i="19"/>
  <c r="E22"/>
  <c r="D23"/>
  <c r="D22"/>
  <c r="C23"/>
  <c r="C22"/>
  <c r="C40"/>
  <c r="C39"/>
  <c r="C20"/>
  <c r="C19"/>
  <c r="C36" s="1"/>
  <c r="C18"/>
  <c r="C17"/>
  <c r="C37" i="18"/>
  <c r="A36"/>
  <c r="A35"/>
  <c r="A34"/>
  <c r="A33"/>
  <c r="C30"/>
  <c r="C21"/>
  <c r="C20"/>
  <c r="C17"/>
  <c r="C29" s="1"/>
  <c r="C16"/>
  <c r="D21" s="1"/>
  <c r="C15"/>
  <c r="C44" i="21" l="1"/>
  <c r="C46" s="1"/>
  <c r="C42"/>
  <c r="F7" i="34"/>
  <c r="F8" s="1"/>
  <c r="G2"/>
  <c r="G4"/>
  <c r="H5"/>
  <c r="H10" s="1"/>
  <c r="B2" i="23"/>
  <c r="D2" i="29"/>
  <c r="D8" s="1"/>
  <c r="C8"/>
  <c r="E4"/>
  <c r="C3" i="31"/>
  <c r="D3" s="1"/>
  <c r="E3" s="1"/>
  <c r="F3" s="1"/>
  <c r="G3" s="1"/>
  <c r="H3" s="1"/>
  <c r="I3" s="1"/>
  <c r="E2"/>
  <c r="E4"/>
  <c r="D8" i="33"/>
  <c r="C8"/>
  <c r="E2"/>
  <c r="E4"/>
  <c r="C8" i="32"/>
  <c r="D4"/>
  <c r="D2"/>
  <c r="F12" i="20"/>
  <c r="E23"/>
  <c r="E18"/>
  <c r="F11"/>
  <c r="E22"/>
  <c r="E17"/>
  <c r="E8"/>
  <c r="D5" i="26"/>
  <c r="E5" s="1"/>
  <c r="F5" s="1"/>
  <c r="G5" s="1"/>
  <c r="H5" s="1"/>
  <c r="I5" s="1"/>
  <c r="J5" s="1"/>
  <c r="D9"/>
  <c r="E9" s="1"/>
  <c r="F9" s="1"/>
  <c r="G9" s="1"/>
  <c r="H9" s="1"/>
  <c r="I9" s="1"/>
  <c r="J9" s="1"/>
  <c r="K9" s="1"/>
  <c r="C2"/>
  <c r="C10" s="1"/>
  <c r="D4"/>
  <c r="E4" s="1"/>
  <c r="F4" s="1"/>
  <c r="G4" s="1"/>
  <c r="H4" s="1"/>
  <c r="I4" s="1"/>
  <c r="J4" s="1"/>
  <c r="K4" s="1"/>
  <c r="H8"/>
  <c r="C7" i="25"/>
  <c r="D4" i="23"/>
  <c r="C5"/>
  <c r="D5" s="1"/>
  <c r="E5" s="1"/>
  <c r="F5" s="1"/>
  <c r="G5" s="1"/>
  <c r="H5" s="1"/>
  <c r="I5" s="1"/>
  <c r="J5" s="1"/>
  <c r="D7"/>
  <c r="D3" s="1"/>
  <c r="E7"/>
  <c r="E3" s="1"/>
  <c r="C34" i="22"/>
  <c r="C36"/>
  <c r="C38"/>
  <c r="C33"/>
  <c r="G12" i="20"/>
  <c r="F23"/>
  <c r="F18"/>
  <c r="G11"/>
  <c r="F22"/>
  <c r="F17"/>
  <c r="D20" i="21"/>
  <c r="D21"/>
  <c r="C29"/>
  <c r="C27"/>
  <c r="C31" a="1"/>
  <c r="C28"/>
  <c r="D20" i="18"/>
  <c r="D33" i="20"/>
  <c r="F33"/>
  <c r="E34"/>
  <c r="G34"/>
  <c r="D35"/>
  <c r="F35"/>
  <c r="E36"/>
  <c r="G36"/>
  <c r="D37"/>
  <c r="F37"/>
  <c r="E38"/>
  <c r="G38"/>
  <c r="E33"/>
  <c r="G33"/>
  <c r="D34"/>
  <c r="F34"/>
  <c r="D38"/>
  <c r="F38"/>
  <c r="C36"/>
  <c r="C34"/>
  <c r="C38"/>
  <c r="C33"/>
  <c r="C37"/>
  <c r="C33" i="19"/>
  <c r="C35"/>
  <c r="C37"/>
  <c r="C34"/>
  <c r="C38"/>
  <c r="C28" i="18"/>
  <c r="C42"/>
  <c r="C27"/>
  <c r="C31" s="1" a="1"/>
  <c r="I5" i="34" l="1"/>
  <c r="I10" s="1"/>
  <c r="H4"/>
  <c r="H2"/>
  <c r="G7"/>
  <c r="G8" s="1"/>
  <c r="C3" i="25"/>
  <c r="C2" s="1"/>
  <c r="C12"/>
  <c r="E2" i="29"/>
  <c r="E8" s="1"/>
  <c r="F2"/>
  <c r="F4"/>
  <c r="C7" i="31"/>
  <c r="C8" s="1"/>
  <c r="D7"/>
  <c r="D8" s="1"/>
  <c r="E7"/>
  <c r="E8" s="1"/>
  <c r="F2"/>
  <c r="F4"/>
  <c r="E8" i="33"/>
  <c r="F2"/>
  <c r="F4"/>
  <c r="E2" i="32"/>
  <c r="D7"/>
  <c r="D8" s="1"/>
  <c r="E4"/>
  <c r="E40" i="20"/>
  <c r="E39"/>
  <c r="F8"/>
  <c r="K5" i="26"/>
  <c r="D7"/>
  <c r="D3" s="1"/>
  <c r="D2"/>
  <c r="D10" s="1"/>
  <c r="E7"/>
  <c r="E3" s="1"/>
  <c r="E2" s="1"/>
  <c r="E10" s="1"/>
  <c r="I8"/>
  <c r="C2" i="23"/>
  <c r="E4"/>
  <c r="D2"/>
  <c r="F7"/>
  <c r="F3" s="1"/>
  <c r="C41" i="22"/>
  <c r="G23" i="20"/>
  <c r="G18"/>
  <c r="G22"/>
  <c r="G17"/>
  <c r="C31" i="21"/>
  <c r="C31" i="18"/>
  <c r="C41" i="20"/>
  <c r="D41"/>
  <c r="C41" i="19"/>
  <c r="H7" i="34" l="1"/>
  <c r="I2"/>
  <c r="I7" s="1"/>
  <c r="H8"/>
  <c r="I4"/>
  <c r="I8" s="1"/>
  <c r="G4" i="29"/>
  <c r="F8"/>
  <c r="G2"/>
  <c r="G4" i="31"/>
  <c r="F7"/>
  <c r="F8" s="1"/>
  <c r="G2"/>
  <c r="G4" i="33"/>
  <c r="F8"/>
  <c r="G2"/>
  <c r="F4" i="32"/>
  <c r="F2"/>
  <c r="E7"/>
  <c r="E8" s="1"/>
  <c r="E41" i="20"/>
  <c r="G8"/>
  <c r="F40"/>
  <c r="F39"/>
  <c r="F7" i="26"/>
  <c r="F3" s="1"/>
  <c r="F2" s="1"/>
  <c r="F10" s="1"/>
  <c r="J8"/>
  <c r="K8" s="1"/>
  <c r="K7" s="1"/>
  <c r="K3" s="1"/>
  <c r="K2" s="1"/>
  <c r="K10" s="1"/>
  <c r="F4" i="23"/>
  <c r="E2"/>
  <c r="G7"/>
  <c r="G3" s="1"/>
  <c r="G8" i="29" l="1"/>
  <c r="H2"/>
  <c r="H4"/>
  <c r="G7" i="31"/>
  <c r="G8" s="1"/>
  <c r="H2"/>
  <c r="H4"/>
  <c r="G8" i="33"/>
  <c r="H2"/>
  <c r="H4"/>
  <c r="G2" i="32"/>
  <c r="F7"/>
  <c r="F8" s="1"/>
  <c r="G4"/>
  <c r="G39" i="20"/>
  <c r="G40"/>
  <c r="F41"/>
  <c r="G7" i="26"/>
  <c r="G3" s="1"/>
  <c r="G2" s="1"/>
  <c r="G10" s="1"/>
  <c r="G4" i="23"/>
  <c r="F2"/>
  <c r="H7"/>
  <c r="H3" s="1"/>
  <c r="B8" i="15"/>
  <c r="B10" s="1"/>
  <c r="B7" i="11"/>
  <c r="B7" i="14"/>
  <c r="N4"/>
  <c r="M4"/>
  <c r="L4"/>
  <c r="K4"/>
  <c r="J4"/>
  <c r="I4"/>
  <c r="H4"/>
  <c r="G4"/>
  <c r="F4"/>
  <c r="E4"/>
  <c r="D4"/>
  <c r="C4"/>
  <c r="B4"/>
  <c r="A11" i="11"/>
  <c r="E6"/>
  <c r="F6" s="1"/>
  <c r="G6" s="1"/>
  <c r="H6" s="1"/>
  <c r="I6" s="1"/>
  <c r="J6" s="1"/>
  <c r="K6" s="1"/>
  <c r="L6" s="1"/>
  <c r="M6" s="1"/>
  <c r="N6" s="1"/>
  <c r="B3"/>
  <c r="B4" s="1"/>
  <c r="B5" s="1"/>
  <c r="C2"/>
  <c r="D2" s="1"/>
  <c r="E2" s="1"/>
  <c r="F2" s="1"/>
  <c r="G2" s="1"/>
  <c r="H2" s="1"/>
  <c r="I2" s="1"/>
  <c r="J2" s="1"/>
  <c r="K2" s="1"/>
  <c r="L2" s="1"/>
  <c r="M2" s="1"/>
  <c r="N2" s="1"/>
  <c r="F6" i="14"/>
  <c r="G6" s="1"/>
  <c r="H6" s="1"/>
  <c r="I6" s="1"/>
  <c r="J6" s="1"/>
  <c r="K6" s="1"/>
  <c r="L6" s="1"/>
  <c r="M6" s="1"/>
  <c r="N6" s="1"/>
  <c r="E6"/>
  <c r="B3"/>
  <c r="C2"/>
  <c r="C3" s="1"/>
  <c r="B7" i="12"/>
  <c r="B4"/>
  <c r="B5" s="1"/>
  <c r="D2"/>
  <c r="E2" s="1"/>
  <c r="F2" s="1"/>
  <c r="G2" s="1"/>
  <c r="H2" s="1"/>
  <c r="I2" s="1"/>
  <c r="J2" s="1"/>
  <c r="K2" s="1"/>
  <c r="L2" s="1"/>
  <c r="M2" s="1"/>
  <c r="N2" s="1"/>
  <c r="C2"/>
  <c r="A12"/>
  <c r="A11"/>
  <c r="E6"/>
  <c r="F6" s="1"/>
  <c r="G6" s="1"/>
  <c r="H6" s="1"/>
  <c r="I6" s="1"/>
  <c r="J6" s="1"/>
  <c r="K6" s="1"/>
  <c r="L6" s="1"/>
  <c r="M6" s="1"/>
  <c r="N6" s="1"/>
  <c r="C3"/>
  <c r="C4" s="1"/>
  <c r="C5" s="1"/>
  <c r="B3"/>
  <c r="B7" i="13"/>
  <c r="F6"/>
  <c r="G6" s="1"/>
  <c r="H6" s="1"/>
  <c r="I6" s="1"/>
  <c r="J6" s="1"/>
  <c r="K6" s="1"/>
  <c r="L6" s="1"/>
  <c r="M6" s="1"/>
  <c r="N6" s="1"/>
  <c r="E6"/>
  <c r="B3"/>
  <c r="C2"/>
  <c r="C3" s="1"/>
  <c r="I4" i="29" l="1"/>
  <c r="H8"/>
  <c r="I2"/>
  <c r="I4" i="31"/>
  <c r="H7"/>
  <c r="H8" s="1"/>
  <c r="I2"/>
  <c r="I7" s="1"/>
  <c r="I4" i="33"/>
  <c r="H8"/>
  <c r="I2"/>
  <c r="H4" i="32"/>
  <c r="H2"/>
  <c r="G7"/>
  <c r="G8" s="1"/>
  <c r="H41" i="20" a="1"/>
  <c r="G41"/>
  <c r="H7" i="26"/>
  <c r="H3" s="1"/>
  <c r="H2" s="1"/>
  <c r="H10" s="1"/>
  <c r="H4" i="23"/>
  <c r="G2"/>
  <c r="I7"/>
  <c r="I3" s="1"/>
  <c r="J7"/>
  <c r="J3" s="1"/>
  <c r="C4" i="15"/>
  <c r="C3" i="11"/>
  <c r="C4" s="1"/>
  <c r="C5" i="14"/>
  <c r="B5"/>
  <c r="D2"/>
  <c r="D3" i="12"/>
  <c r="C4" i="13"/>
  <c r="C5" s="1"/>
  <c r="D2"/>
  <c r="B4"/>
  <c r="B5" s="1"/>
  <c r="I8" i="29" l="1"/>
  <c r="I8" i="31"/>
  <c r="I8" i="33"/>
  <c r="I2" i="32"/>
  <c r="I7" s="1"/>
  <c r="H7"/>
  <c r="I4"/>
  <c r="I8" s="1"/>
  <c r="H8"/>
  <c r="H41" i="20"/>
  <c r="J7" i="26"/>
  <c r="J3" s="1"/>
  <c r="J2" s="1"/>
  <c r="J10" s="1"/>
  <c r="I7"/>
  <c r="I3" s="1"/>
  <c r="I2" s="1"/>
  <c r="I10" s="1"/>
  <c r="I4" i="23"/>
  <c r="H2"/>
  <c r="D4" i="15"/>
  <c r="C8"/>
  <c r="C10" s="1"/>
  <c r="C5" i="11"/>
  <c r="D3"/>
  <c r="D4" s="1"/>
  <c r="D3" i="14"/>
  <c r="E2"/>
  <c r="D4" i="12"/>
  <c r="D5" s="1"/>
  <c r="E3"/>
  <c r="D3" i="13"/>
  <c r="E2"/>
  <c r="J4" i="23" l="1"/>
  <c r="J2" s="1"/>
  <c r="I2"/>
  <c r="D8" i="15"/>
  <c r="D10" s="1"/>
  <c r="E4"/>
  <c r="D5" i="11"/>
  <c r="E3"/>
  <c r="E4" s="1"/>
  <c r="D5" i="14"/>
  <c r="E3"/>
  <c r="F2"/>
  <c r="E4" i="12"/>
  <c r="E5" s="1"/>
  <c r="F3"/>
  <c r="D4" i="13"/>
  <c r="D5" s="1"/>
  <c r="E3"/>
  <c r="F2"/>
  <c r="F4" i="15" l="1"/>
  <c r="E8"/>
  <c r="E10" s="1"/>
  <c r="E5" i="11"/>
  <c r="F3"/>
  <c r="F4" s="1"/>
  <c r="E5" i="14"/>
  <c r="F3"/>
  <c r="G2"/>
  <c r="F4" i="12"/>
  <c r="F5" s="1"/>
  <c r="G3"/>
  <c r="E4" i="13"/>
  <c r="E5" s="1"/>
  <c r="F3"/>
  <c r="G2"/>
  <c r="F8" i="15" l="1"/>
  <c r="F10" s="1"/>
  <c r="G4"/>
  <c r="G8" s="1"/>
  <c r="G10" s="1"/>
  <c r="F5" i="11"/>
  <c r="G3"/>
  <c r="G4" s="1"/>
  <c r="F5" i="14"/>
  <c r="G3"/>
  <c r="H2"/>
  <c r="G4" i="12"/>
  <c r="G5" s="1"/>
  <c r="H3"/>
  <c r="F4" i="13"/>
  <c r="F5" s="1"/>
  <c r="G3"/>
  <c r="H2"/>
  <c r="G5" i="11" l="1"/>
  <c r="H3"/>
  <c r="H4" s="1"/>
  <c r="G5" i="14"/>
  <c r="H3"/>
  <c r="I2"/>
  <c r="H4" i="12"/>
  <c r="H5" s="1"/>
  <c r="I3"/>
  <c r="G4" i="13"/>
  <c r="G5" s="1"/>
  <c r="H3"/>
  <c r="I2"/>
  <c r="H5" i="11" l="1"/>
  <c r="I3"/>
  <c r="I4" s="1"/>
  <c r="H5" i="14"/>
  <c r="I3"/>
  <c r="J2"/>
  <c r="I4" i="12"/>
  <c r="I5" s="1"/>
  <c r="J3"/>
  <c r="I3" i="13"/>
  <c r="J2"/>
  <c r="H4"/>
  <c r="H5" s="1"/>
  <c r="I5" i="11" l="1"/>
  <c r="J3"/>
  <c r="J4" s="1"/>
  <c r="I5" i="14"/>
  <c r="J3"/>
  <c r="K2"/>
  <c r="J4" i="12"/>
  <c r="J5" s="1"/>
  <c r="K3"/>
  <c r="J3" i="13"/>
  <c r="K2"/>
  <c r="I4"/>
  <c r="I5" s="1"/>
  <c r="J5" i="11" l="1"/>
  <c r="K3"/>
  <c r="K4" s="1"/>
  <c r="J5" i="14"/>
  <c r="K3"/>
  <c r="L2"/>
  <c r="K4" i="12"/>
  <c r="K5" s="1"/>
  <c r="L3"/>
  <c r="J4" i="13"/>
  <c r="J5" s="1"/>
  <c r="K3"/>
  <c r="L2"/>
  <c r="K5" i="11" l="1"/>
  <c r="L3"/>
  <c r="L4" s="1"/>
  <c r="K5" i="14"/>
  <c r="L3"/>
  <c r="M2"/>
  <c r="L4" i="12"/>
  <c r="L5" s="1"/>
  <c r="M3"/>
  <c r="K4" i="13"/>
  <c r="K5" s="1"/>
  <c r="L3"/>
  <c r="M2"/>
  <c r="L5" i="11" l="1"/>
  <c r="M3"/>
  <c r="M4" s="1"/>
  <c r="L5" i="14"/>
  <c r="M3"/>
  <c r="N2"/>
  <c r="N3" s="1"/>
  <c r="M4" i="12"/>
  <c r="M5" s="1"/>
  <c r="N3"/>
  <c r="N4" s="1"/>
  <c r="N5" s="1"/>
  <c r="L4" i="13"/>
  <c r="L5" s="1"/>
  <c r="M3"/>
  <c r="N2"/>
  <c r="N3" s="1"/>
  <c r="M5" i="11" l="1"/>
  <c r="N3"/>
  <c r="M5" i="14"/>
  <c r="N5"/>
  <c r="M4" i="13"/>
  <c r="M5" s="1"/>
  <c r="N4"/>
  <c r="N5" s="1"/>
  <c r="N4" i="11" l="1"/>
  <c r="N5" s="1"/>
</calcChain>
</file>

<file path=xl/sharedStrings.xml><?xml version="1.0" encoding="utf-8"?>
<sst xmlns="http://schemas.openxmlformats.org/spreadsheetml/2006/main" count="860" uniqueCount="262">
  <si>
    <t>INPUT</t>
  </si>
  <si>
    <t>OUTPUT</t>
  </si>
  <si>
    <t xml:space="preserve"> </t>
  </si>
  <si>
    <t>MAX C</t>
  </si>
  <si>
    <t>pd</t>
  </si>
  <si>
    <t>pf</t>
  </si>
  <si>
    <t>D mean</t>
  </si>
  <si>
    <t>D stdev</t>
  </si>
  <si>
    <t>TOTAL REVENUE</t>
  </si>
  <si>
    <t>pd/pf</t>
  </si>
  <si>
    <t>MIN(NORMINV((B8),B6,B7),B5)</t>
  </si>
  <si>
    <t>PRICE</t>
  </si>
  <si>
    <t>CAPACITY</t>
  </si>
  <si>
    <t>NORMINV</t>
  </si>
  <si>
    <t>ALLOCATING CAPACITY</t>
  </si>
  <si>
    <t>OVERBOOKING</t>
  </si>
  <si>
    <t>PAYOFF STRATEGIES</t>
  </si>
  <si>
    <t>REAL OPTION PAYOFFS</t>
  </si>
  <si>
    <t>WRITE REAL CALL INTRINSIC</t>
  </si>
  <si>
    <t>STRATEGY RESULT</t>
  </si>
  <si>
    <t>Option cost, y</t>
  </si>
  <si>
    <t>IF(B3&gt;0,-B3+$B$7,$B$7)</t>
  </si>
  <si>
    <t>B3+B4</t>
  </si>
  <si>
    <t>Value of Commited Cost, K</t>
  </si>
  <si>
    <t xml:space="preserve"> Own a valuable service which involves a pre-commited cost K, sell to customer an option to buy the service at nil cost, for immediate payment of option premium of y.</t>
  </si>
  <si>
    <t>SERVICE VALUE</t>
  </si>
  <si>
    <t>SERVICE VALUE-COST</t>
  </si>
  <si>
    <t xml:space="preserve">  STRATEGY RESULT equals write real put on net service value.</t>
  </si>
  <si>
    <t>BUY REAL PUT INTRINSIC</t>
  </si>
  <si>
    <t>IF(B3&lt;0,-B3-$B$7,-$B$7)</t>
  </si>
  <si>
    <t>B4+B3</t>
  </si>
  <si>
    <t xml:space="preserve">Own a valuable service which involves a pre-commited cost K, buy from the customer an option to sell the service at </t>
  </si>
  <si>
    <t>the commited cost K.  The seller pays the customer an upfront premium, or alternatively grants the customer a reduced K.</t>
  </si>
  <si>
    <t xml:space="preserve">  STRATEGY RESULT equals buy real call on net service value at nil exercise cost.</t>
  </si>
  <si>
    <t xml:space="preserve"> Own a valuable service which involves a pre-commited cost K, buy from customer an option to repurchase the right to the service for immediate payment of option premium of y.</t>
  </si>
  <si>
    <t>BUY REAL CALL INTRINSIC</t>
  </si>
  <si>
    <t>IF(B3&gt;0,B3-$B$7,-$B$7)</t>
  </si>
  <si>
    <t>WRITE REAL PUT INTRINSIC</t>
  </si>
  <si>
    <t>IF(B3&lt;0,B3+$B$7,$B$7)</t>
  </si>
  <si>
    <t>The seller receives from  the customer an upfront premium, or alternatively requires the customer to pay a higher initial price.</t>
  </si>
  <si>
    <t xml:space="preserve">  STRATEGY RESULT equals write a super put on service value.</t>
  </si>
  <si>
    <t>Sell a valuable service which involves a pre-commited cost K &amp; sell to the customer an option to resell the service back to the producer</t>
  </si>
  <si>
    <t>Stochastic Demand in Capacity Allocation</t>
  </si>
  <si>
    <t>Expected NoShows</t>
  </si>
  <si>
    <t>Stdev NoShows</t>
  </si>
  <si>
    <t>DENIED Compensation</t>
  </si>
  <si>
    <t>Continuous American Perpetual SINGLE SWITCH Option</t>
  </si>
  <si>
    <t>ONE WAY SWITCH FROM OUTPUT x TO y</t>
  </si>
  <si>
    <t>x</t>
  </si>
  <si>
    <t>y</t>
  </si>
  <si>
    <t>Convenience yield of x</t>
  </si>
  <si>
    <r>
      <t>δ</t>
    </r>
    <r>
      <rPr>
        <vertAlign val="subscript"/>
        <sz val="10"/>
        <rFont val="Times New Roman"/>
        <family val="1"/>
      </rPr>
      <t>x</t>
    </r>
  </si>
  <si>
    <t>Convenience yield of y</t>
  </si>
  <si>
    <r>
      <t>δ</t>
    </r>
    <r>
      <rPr>
        <vertAlign val="subscript"/>
        <sz val="10"/>
        <rFont val="Times New Roman"/>
        <family val="1"/>
      </rPr>
      <t>y</t>
    </r>
  </si>
  <si>
    <t>Volatility of x</t>
  </si>
  <si>
    <r>
      <t>σ</t>
    </r>
    <r>
      <rPr>
        <vertAlign val="subscript"/>
        <sz val="10"/>
        <rFont val="Times New Roman"/>
        <family val="1"/>
      </rPr>
      <t>x</t>
    </r>
  </si>
  <si>
    <t>Volatility of y</t>
  </si>
  <si>
    <r>
      <t>σ</t>
    </r>
    <r>
      <rPr>
        <vertAlign val="subscript"/>
        <sz val="10"/>
        <rFont val="Times New Roman"/>
        <family val="1"/>
      </rPr>
      <t>y</t>
    </r>
  </si>
  <si>
    <t>Correlation x with y</t>
  </si>
  <si>
    <t>ρ</t>
  </si>
  <si>
    <t>Risk-free interest rate</t>
  </si>
  <si>
    <t>r</t>
  </si>
  <si>
    <t>Operating cost for x</t>
  </si>
  <si>
    <r>
      <t>c</t>
    </r>
    <r>
      <rPr>
        <vertAlign val="subscript"/>
        <sz val="10"/>
        <rFont val="Times New Roman"/>
        <family val="1"/>
      </rPr>
      <t>x</t>
    </r>
  </si>
  <si>
    <t>Operating cost for y</t>
  </si>
  <si>
    <r>
      <t>c</t>
    </r>
    <r>
      <rPr>
        <vertAlign val="subscript"/>
        <sz val="10"/>
        <rFont val="Times New Roman"/>
        <family val="1"/>
      </rPr>
      <t>y</t>
    </r>
  </si>
  <si>
    <t>Switching cost from x to y</t>
  </si>
  <si>
    <r>
      <t>S</t>
    </r>
    <r>
      <rPr>
        <vertAlign val="subscript"/>
        <sz val="10"/>
        <rFont val="Times New Roman"/>
        <family val="1"/>
      </rPr>
      <t>12</t>
    </r>
  </si>
  <si>
    <t>Switching cost from y to x</t>
  </si>
  <si>
    <r>
      <t>S</t>
    </r>
    <r>
      <rPr>
        <vertAlign val="subscript"/>
        <sz val="10"/>
        <rFont val="Times New Roman"/>
        <family val="1"/>
      </rPr>
      <t>21</t>
    </r>
  </si>
  <si>
    <t>PV of revenues x</t>
  </si>
  <si>
    <t>X</t>
  </si>
  <si>
    <t>PV of revenues y</t>
  </si>
  <si>
    <t>Y</t>
  </si>
  <si>
    <t>Switching boundary x to y</t>
  </si>
  <si>
    <r>
      <t>x</t>
    </r>
    <r>
      <rPr>
        <vertAlign val="subscript"/>
        <sz val="10"/>
        <rFont val="Times New Roman"/>
        <family val="1"/>
      </rPr>
      <t>12</t>
    </r>
  </si>
  <si>
    <t>SOLUTION</t>
  </si>
  <si>
    <t>OPTION VALUE</t>
  </si>
  <si>
    <t>Asset value in operating mode '1'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</si>
  <si>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</t>
    </r>
  </si>
  <si>
    <t>Asset value in operating mode '2'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</si>
  <si>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</t>
    </r>
  </si>
  <si>
    <t>A</t>
  </si>
  <si>
    <r>
      <t>y</t>
    </r>
    <r>
      <rPr>
        <vertAlign val="subscript"/>
        <sz val="10"/>
        <rFont val="Times New Roman"/>
        <family val="1"/>
      </rPr>
      <t xml:space="preserve">12 </t>
    </r>
    <r>
      <rPr>
        <sz val="10"/>
        <rFont val="Times New Roman"/>
        <family val="1"/>
      </rPr>
      <t>(x)</t>
    </r>
  </si>
  <si>
    <t>Solution quadrant</t>
  </si>
  <si>
    <r>
      <t>β</t>
    </r>
    <r>
      <rPr>
        <vertAlign val="subscript"/>
        <sz val="10"/>
        <rFont val="Times New Roman"/>
        <family val="1"/>
      </rPr>
      <t>11</t>
    </r>
  </si>
  <si>
    <t>must be negative</t>
  </si>
  <si>
    <r>
      <t>β</t>
    </r>
    <r>
      <rPr>
        <vertAlign val="subscript"/>
        <sz val="10"/>
        <rFont val="Times New Roman"/>
        <family val="1"/>
      </rPr>
      <t>12</t>
    </r>
  </si>
  <si>
    <t>must be positive</t>
  </si>
  <si>
    <t>EQUATIONS</t>
  </si>
  <si>
    <t>Value matching 1</t>
  </si>
  <si>
    <t>Smooth pasting 1A</t>
  </si>
  <si>
    <t>Smooth pasting 1B</t>
  </si>
  <si>
    <t>Solution quadrant 1</t>
  </si>
  <si>
    <t>Sum</t>
  </si>
  <si>
    <t>SOLVER: SET C31=0, CHANGING C22:C25</t>
  </si>
  <si>
    <t>(C22*C17^C24*C23^C25+C17/C5-C11/C10-C23/C6+C12/C10+C13)</t>
  </si>
  <si>
    <t>(C24*C22*C17^(C24-1)*C23^C25+1/C5)</t>
  </si>
  <si>
    <t>(C25*C22*C17^C24*C23^(C25-1)-1/C6)</t>
  </si>
  <si>
    <t>0.5*C7^2*C24*(C24-1)+0.5*C8^2*C25*(C25-1)+C9*C7*C8*C24*C25+C24*(C10-C5)+C25*(C10-C6)-C10</t>
  </si>
  <si>
    <t>SPREAD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</si>
  <si>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  EQ 5</t>
    </r>
  </si>
  <si>
    <t>C3/C5-C11/C10+C22*C3^C24*C4^C25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</si>
  <si>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  EQ 7</t>
    </r>
  </si>
  <si>
    <t>C4/C6-C12/C10</t>
  </si>
  <si>
    <t>CALCULATOR ANSWER</t>
  </si>
  <si>
    <r>
      <t>y</t>
    </r>
    <r>
      <rPr>
        <b/>
        <vertAlign val="subscript"/>
        <sz val="10"/>
        <rFont val="Times New Roman"/>
        <family val="1"/>
      </rPr>
      <t xml:space="preserve">12 </t>
    </r>
    <r>
      <rPr>
        <b/>
        <sz val="10"/>
        <rFont val="Times New Roman"/>
        <family val="1"/>
      </rPr>
      <t>(x)</t>
    </r>
  </si>
  <si>
    <t>-C25*C17/C24</t>
  </si>
  <si>
    <t xml:space="preserve">                         Multiple American Perpetual Output Switch Option</t>
  </si>
  <si>
    <t>Switching boundary y to x</t>
  </si>
  <si>
    <r>
      <t>x</t>
    </r>
    <r>
      <rPr>
        <vertAlign val="subscript"/>
        <sz val="10"/>
        <rFont val="Times New Roman"/>
        <family val="1"/>
      </rPr>
      <t>21</t>
    </r>
  </si>
  <si>
    <t>B</t>
  </si>
  <si>
    <r>
      <t>y</t>
    </r>
    <r>
      <rPr>
        <vertAlign val="subscript"/>
        <sz val="10"/>
        <rFont val="Times New Roman"/>
        <family val="1"/>
      </rPr>
      <t xml:space="preserve">21 </t>
    </r>
    <r>
      <rPr>
        <sz val="10"/>
        <rFont val="Times New Roman"/>
        <family val="1"/>
      </rPr>
      <t>(x)</t>
    </r>
  </si>
  <si>
    <r>
      <t>β</t>
    </r>
    <r>
      <rPr>
        <vertAlign val="subscript"/>
        <sz val="10"/>
        <rFont val="Times New Roman"/>
        <family val="1"/>
      </rPr>
      <t>21</t>
    </r>
  </si>
  <si>
    <r>
      <t>β</t>
    </r>
    <r>
      <rPr>
        <vertAlign val="subscript"/>
        <sz val="10"/>
        <rFont val="Times New Roman"/>
        <family val="1"/>
      </rPr>
      <t>22</t>
    </r>
  </si>
  <si>
    <t>EQ9</t>
  </si>
  <si>
    <t>Value matching 2</t>
  </si>
  <si>
    <t>EQ10</t>
  </si>
  <si>
    <t>EQ11</t>
  </si>
  <si>
    <t>EQ12</t>
  </si>
  <si>
    <t>Smooth pasting 2A</t>
  </si>
  <si>
    <t>EQ13</t>
  </si>
  <si>
    <t>Smooth pasting 2B</t>
  </si>
  <si>
    <t>EQ14</t>
  </si>
  <si>
    <t>EQ6</t>
  </si>
  <si>
    <t>Solution quadrant 2</t>
  </si>
  <si>
    <t>EQ8</t>
  </si>
  <si>
    <t>EQ 15</t>
  </si>
  <si>
    <t>EQ 16</t>
  </si>
  <si>
    <t>(C24*C19^C28*C26^C29+C19/C5-C11/C10-C25*C19^C30*C26^C31-C26/C6+C12/C10+C15)</t>
  </si>
  <si>
    <t>(C24*C20^C28*C27^C29+C20/C5-C11/C10-C25*C20^C30*C27^C31-C27/C6+C12/C10-C16)</t>
  </si>
  <si>
    <t>(C28*C24*C19^(C28-1)*C26^C29+1/C5-C30*C25*C19^(C30-1)*C26^C31)</t>
  </si>
  <si>
    <t>(C29*C24*C19^C28*C26^(C29-1)-C31*C25*C19^C30*C26^(C31-1)-1/C6)</t>
  </si>
  <si>
    <t>(C28*C24*C20^(C28-1)*C27^C29+1/C5-C30*C25*C20^(C30-1)*C27^C31)</t>
  </si>
  <si>
    <t>(C29*C24*C20^C28*C27^(C29-1)-C31*C25*C20^C30*C27^(C31-1)-1/C6)</t>
  </si>
  <si>
    <t>0.5*C7^2*C28*(C28-1)+0.5*C8^2*C29*(C29-1)+C9*C7*C8*C28*C29+C28*(C10-C5)+C29*(C10-C6)-C10</t>
  </si>
  <si>
    <t>0.5*C7^2*C30*(C30-1)+0.5*C8^2*C31*(C31-1)+C9*C7*C8*C30*C31+C30*(C10-C5)+C31*(C10-C6)-C10</t>
  </si>
  <si>
    <t>C3/C5-C11/C10+C24*C3^C28*C4^C29</t>
  </si>
  <si>
    <t>C4/C6-C12/C10+C25*C3^C30*C4^C31</t>
  </si>
  <si>
    <t>SOLVER: SET C41=0, CHANGING C24:C31</t>
  </si>
  <si>
    <t>OUTPUT x Discount Class</t>
  </si>
  <si>
    <t>OUTPUT y Upper Class</t>
  </si>
  <si>
    <t>OPTION</t>
  </si>
  <si>
    <t>OPERATING</t>
  </si>
  <si>
    <t>M Spread</t>
  </si>
  <si>
    <t>C26-C27</t>
  </si>
  <si>
    <t>M x to y</t>
  </si>
  <si>
    <t>C6*(C15+C3/C5)</t>
  </si>
  <si>
    <t>C6*(-C16+C3/C5)</t>
  </si>
  <si>
    <t>M y to x</t>
  </si>
  <si>
    <t>C48-C49</t>
  </si>
  <si>
    <t>PROB</t>
  </si>
  <si>
    <t>MEAN</t>
  </si>
  <si>
    <t>STDEV</t>
  </si>
  <si>
    <t>Phillips Table 7.1</t>
  </si>
  <si>
    <t>C</t>
  </si>
  <si>
    <t>Book Limit</t>
  </si>
  <si>
    <t>MAX(MIN(NORMINV(B3,B4,B5),B6),0)</t>
  </si>
  <si>
    <t>b*</t>
  </si>
  <si>
    <t>Q1</t>
  </si>
  <si>
    <t>Q2</t>
  </si>
  <si>
    <t>Booking Limit</t>
  </si>
  <si>
    <t>B4-$B$11*(C9-B9)</t>
  </si>
  <si>
    <t>B5+0.5*$B$11*(C9-B9)</t>
  </si>
  <si>
    <t>Bus Class Beta</t>
  </si>
  <si>
    <t>BOOKINGS ALLOWED</t>
  </si>
  <si>
    <t>NORMINV((B2/(B2+B3)),B5,B6)</t>
  </si>
  <si>
    <t xml:space="preserve">                                    OPTIMAL OVERBOOKING with Stochastic No Shows</t>
  </si>
  <si>
    <t>MAX(NORMINV((B2/(B2+B3)),B5,B6),0)</t>
  </si>
  <si>
    <t xml:space="preserve">GUIDE TO REAL REVENUE OPTION  EXCELS </t>
  </si>
  <si>
    <t xml:space="preserve">                                             REAL OPTION VALUE CHAPTER 13</t>
  </si>
  <si>
    <t>SWITCHING OUTPUTS</t>
  </si>
  <si>
    <t>FIGURE 1</t>
  </si>
  <si>
    <t>SPREAD (CORRELATION)</t>
  </si>
  <si>
    <t>FIGURE 2</t>
  </si>
  <si>
    <t>FIGURE 3</t>
  </si>
  <si>
    <t>BOOK LIMIT (VOLATILITY)</t>
  </si>
  <si>
    <t>FIGURE 5</t>
  </si>
  <si>
    <t>FIGURE 6</t>
  </si>
  <si>
    <t>BOOK LIMIT (VOLATILITY) HIGH FARE</t>
  </si>
  <si>
    <t>FIGURE 7</t>
  </si>
  <si>
    <t>BOOK LIMIT (RELATIVE FARES)</t>
  </si>
  <si>
    <t>BOOK LIMIT (RELATIVE FARES, HIGH VOL)</t>
  </si>
  <si>
    <t>FIGURE 8</t>
  </si>
  <si>
    <t>MULTIPLE SWITCHES</t>
  </si>
  <si>
    <t>SINGLE SWITCH</t>
  </si>
  <si>
    <t>BASE CASE</t>
  </si>
  <si>
    <t>FIGURE 9</t>
  </si>
  <si>
    <t>FIGURE 10</t>
  </si>
  <si>
    <t>FIGURE 11</t>
  </si>
  <si>
    <t>FIGURE 12</t>
  </si>
  <si>
    <t>FIGURE 13</t>
  </si>
  <si>
    <t>MEAN NO SHOWS</t>
  </si>
  <si>
    <t>NO SHOW VOLATILITY, LOW COM</t>
  </si>
  <si>
    <t>NO SHOW VOLATILITY, HIGH COM</t>
  </si>
  <si>
    <t>COMPENSATION</t>
  </si>
  <si>
    <t>EXERCISE 13.1</t>
  </si>
  <si>
    <t>PROBLEM 13.4</t>
  </si>
  <si>
    <t>EXERCISE 13.2</t>
  </si>
  <si>
    <t>EXERCISE 13.3</t>
  </si>
  <si>
    <t>PROBLEM 13.5</t>
  </si>
  <si>
    <t>PROBLEM 13.6</t>
  </si>
  <si>
    <t>SINGLE OUTPUT SWITCH</t>
  </si>
  <si>
    <t>MULTIPLE OUTPUT SWITCH</t>
  </si>
  <si>
    <t>DISCOUNT BOOKING LIMIT</t>
  </si>
  <si>
    <t>DISCOUNT BOOKING LIMIT, FARE RANGE</t>
  </si>
  <si>
    <t xml:space="preserve">OVERBOOKING </t>
  </si>
  <si>
    <t>OVERBOOKING  COMPENSATION RANGE</t>
  </si>
  <si>
    <t>Problem 13.4</t>
  </si>
  <si>
    <t>Exercise 13.1</t>
  </si>
  <si>
    <t>Exercise 13.3</t>
  </si>
  <si>
    <t>Problem 13.6</t>
  </si>
  <si>
    <t>Marshall Thresholds</t>
  </si>
  <si>
    <t>EQ 17</t>
  </si>
  <si>
    <t>EQ 18</t>
  </si>
  <si>
    <t>Approximate</t>
  </si>
  <si>
    <t>200*B7-60</t>
  </si>
  <si>
    <t>Q function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</si>
  <si>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</si>
  <si>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</si>
  <si>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</si>
  <si>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</si>
  <si>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</si>
  <si>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</si>
  <si>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</si>
  <si>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</si>
  <si>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</si>
  <si>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</si>
  <si>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</si>
  <si>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</si>
  <si>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</si>
  <si>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</si>
  <si>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</si>
  <si>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</si>
  <si>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</si>
  <si>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</si>
  <si>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</si>
  <si>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</si>
  <si>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</si>
  <si>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</si>
  <si>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</si>
  <si>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</si>
  <si>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</si>
  <si>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</si>
  <si>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</si>
  <si>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X Variable 4</t>
  </si>
  <si>
    <t>X Variable 5</t>
  </si>
  <si>
    <t>X Variable 6</t>
  </si>
  <si>
    <t>X Variable 7</t>
  </si>
  <si>
    <t>X Variable 8</t>
  </si>
  <si>
    <t>BL</t>
  </si>
  <si>
    <t>-76.9+253.5*C7</t>
  </si>
  <si>
    <t>OB     NORMINV</t>
  </si>
  <si>
    <t>OB Approximate</t>
  </si>
  <si>
    <t>-6.45+C5</t>
  </si>
  <si>
    <r>
      <t>V</t>
    </r>
    <r>
      <rPr>
        <b/>
        <vertAlign val="subscript"/>
        <sz val="10"/>
        <rFont val="Times New Roman"/>
        <family val="1"/>
      </rPr>
      <t>1</t>
    </r>
    <r>
      <rPr>
        <b/>
        <sz val="10"/>
        <rFont val="Times New Roman"/>
        <family val="1"/>
      </rPr>
      <t>(x,y)</t>
    </r>
  </si>
  <si>
    <t>(-1/C25)/(C24*(C17^(C24-1))*C23^C25)</t>
  </si>
  <si>
    <t>C44*C3^C24*C4^C25</t>
  </si>
  <si>
    <t>WRITE CALL</t>
  </si>
  <si>
    <t>BUY CALL</t>
  </si>
  <si>
    <t>WRITE PUT</t>
  </si>
  <si>
    <t>BUY PUT</t>
  </si>
</sst>
</file>

<file path=xl/styles.xml><?xml version="1.0" encoding="utf-8"?>
<styleSheet xmlns="http://schemas.openxmlformats.org/spreadsheetml/2006/main">
  <numFmts count="4">
    <numFmt numFmtId="164" formatCode="&quot;$&quot;#,##0"/>
    <numFmt numFmtId="165" formatCode="0.0000"/>
    <numFmt numFmtId="166" formatCode="0.000"/>
    <numFmt numFmtId="167" formatCode="#,##0.000"/>
  </numFmts>
  <fonts count="2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vertAlign val="subscript"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vertAlign val="subscript"/>
      <sz val="10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Continuous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1" applyFont="1" applyAlignment="1">
      <alignment horizontal="left"/>
    </xf>
    <xf numFmtId="0" fontId="11" fillId="0" borderId="0" xfId="1" applyFont="1"/>
    <xf numFmtId="0" fontId="10" fillId="0" borderId="0" xfId="1" applyFont="1" applyAlignment="1">
      <alignment horizontal="centerContinuous"/>
    </xf>
    <xf numFmtId="0" fontId="12" fillId="0" borderId="0" xfId="1" applyFont="1"/>
    <xf numFmtId="0" fontId="11" fillId="2" borderId="0" xfId="1" applyFont="1" applyFill="1"/>
    <xf numFmtId="2" fontId="13" fillId="0" borderId="0" xfId="1" applyNumberFormat="1" applyFont="1"/>
    <xf numFmtId="0" fontId="11" fillId="0" borderId="0" xfId="0" applyFont="1"/>
    <xf numFmtId="3" fontId="11" fillId="0" borderId="0" xfId="0" applyNumberFormat="1" applyFont="1" applyAlignment="1"/>
    <xf numFmtId="2" fontId="11" fillId="0" borderId="0" xfId="0" applyNumberFormat="1" applyFont="1"/>
    <xf numFmtId="0" fontId="11" fillId="2" borderId="0" xfId="0" applyFont="1" applyFill="1"/>
    <xf numFmtId="3" fontId="11" fillId="0" borderId="0" xfId="1" applyNumberFormat="1" applyFont="1"/>
    <xf numFmtId="3" fontId="11" fillId="0" borderId="0" xfId="0" applyNumberFormat="1" applyFont="1"/>
    <xf numFmtId="0" fontId="11" fillId="0" borderId="0" xfId="1" applyFont="1" applyFill="1"/>
    <xf numFmtId="4" fontId="11" fillId="0" borderId="0" xfId="1" applyNumberFormat="1" applyFont="1"/>
    <xf numFmtId="2" fontId="11" fillId="0" borderId="0" xfId="1" applyNumberFormat="1" applyFont="1"/>
    <xf numFmtId="166" fontId="13" fillId="0" borderId="0" xfId="1" applyNumberFormat="1" applyFont="1"/>
    <xf numFmtId="0" fontId="11" fillId="0" borderId="0" xfId="0" applyFont="1" applyFill="1"/>
    <xf numFmtId="2" fontId="11" fillId="2" borderId="0" xfId="1" applyNumberFormat="1" applyFont="1" applyFill="1"/>
    <xf numFmtId="165" fontId="11" fillId="0" borderId="0" xfId="1" applyNumberFormat="1" applyFont="1"/>
    <xf numFmtId="2" fontId="15" fillId="0" borderId="0" xfId="1" applyNumberFormat="1" applyFont="1"/>
    <xf numFmtId="166" fontId="11" fillId="0" borderId="0" xfId="1" applyNumberFormat="1" applyFont="1"/>
    <xf numFmtId="167" fontId="11" fillId="0" borderId="0" xfId="1" applyNumberFormat="1" applyFont="1"/>
    <xf numFmtId="167" fontId="11" fillId="3" borderId="0" xfId="1" applyNumberFormat="1" applyFont="1" applyFill="1"/>
    <xf numFmtId="0" fontId="16" fillId="0" borderId="0" xfId="1" applyFont="1"/>
    <xf numFmtId="167" fontId="17" fillId="0" borderId="0" xfId="1" applyNumberFormat="1" applyFont="1"/>
    <xf numFmtId="2" fontId="18" fillId="0" borderId="0" xfId="0" applyNumberFormat="1" applyFont="1"/>
    <xf numFmtId="0" fontId="18" fillId="0" borderId="1" xfId="0" applyFont="1" applyBorder="1" applyAlignment="1">
      <alignment horizontal="centerContinuous"/>
    </xf>
    <xf numFmtId="0" fontId="18" fillId="0" borderId="2" xfId="0" applyFont="1" applyBorder="1" applyAlignment="1">
      <alignment horizontal="centerContinuous"/>
    </xf>
    <xf numFmtId="0" fontId="18" fillId="0" borderId="3" xfId="0" applyFont="1" applyBorder="1" applyAlignment="1">
      <alignment horizontal="centerContinuous"/>
    </xf>
    <xf numFmtId="0" fontId="16" fillId="0" borderId="4" xfId="0" applyFont="1" applyFill="1" applyBorder="1"/>
    <xf numFmtId="2" fontId="18" fillId="0" borderId="0" xfId="0" quotePrefix="1" applyNumberFormat="1" applyFont="1" applyBorder="1"/>
    <xf numFmtId="0" fontId="0" fillId="0" borderId="5" xfId="0" applyBorder="1"/>
    <xf numFmtId="0" fontId="0" fillId="0" borderId="6" xfId="0" applyBorder="1"/>
    <xf numFmtId="0" fontId="18" fillId="0" borderId="7" xfId="0" quotePrefix="1" applyFont="1" applyBorder="1"/>
    <xf numFmtId="0" fontId="0" fillId="0" borderId="8" xfId="0" applyBorder="1"/>
    <xf numFmtId="165" fontId="9" fillId="0" borderId="0" xfId="0" applyNumberFormat="1" applyFont="1"/>
    <xf numFmtId="167" fontId="20" fillId="0" borderId="0" xfId="1" applyNumberFormat="1" applyFont="1"/>
    <xf numFmtId="167" fontId="21" fillId="0" borderId="0" xfId="1" applyNumberFormat="1" applyFont="1"/>
    <xf numFmtId="166" fontId="0" fillId="0" borderId="0" xfId="0" applyNumberFormat="1"/>
    <xf numFmtId="2" fontId="9" fillId="0" borderId="0" xfId="0" applyNumberFormat="1" applyFont="1"/>
    <xf numFmtId="1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1" fillId="2" borderId="0" xfId="1" applyFont="1" applyFill="1" applyProtection="1">
      <protection locked="0"/>
    </xf>
    <xf numFmtId="0" fontId="0" fillId="0" borderId="0" xfId="0" applyFill="1" applyBorder="1" applyAlignment="1"/>
    <xf numFmtId="0" fontId="0" fillId="0" borderId="9" xfId="0" applyFill="1" applyBorder="1" applyAlignment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Continuous"/>
    </xf>
    <xf numFmtId="0" fontId="0" fillId="0" borderId="0" xfId="0" quotePrefix="1"/>
    <xf numFmtId="2" fontId="2" fillId="0" borderId="0" xfId="0" applyNumberFormat="1" applyFont="1"/>
    <xf numFmtId="0" fontId="16" fillId="0" borderId="4" xfId="1" applyFont="1" applyFill="1" applyBorder="1"/>
    <xf numFmtId="4" fontId="16" fillId="0" borderId="0" xfId="1" applyNumberFormat="1" applyFont="1" applyBorder="1"/>
    <xf numFmtId="0" fontId="18" fillId="0" borderId="6" xfId="0" applyFont="1" applyBorder="1"/>
    <xf numFmtId="4" fontId="16" fillId="0" borderId="7" xfId="1" applyNumberFormat="1" applyFont="1" applyBorder="1"/>
    <xf numFmtId="0" fontId="2" fillId="0" borderId="1" xfId="0" applyFont="1" applyBorder="1"/>
    <xf numFmtId="2" fontId="2" fillId="0" borderId="2" xfId="0" applyNumberFormat="1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8" xfId="0" applyFont="1" applyBorder="1"/>
    <xf numFmtId="0" fontId="23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</a:t>
            </a:r>
            <a:r>
              <a:rPr lang="en-US" baseline="0"/>
              <a:t> Writes a Call Option for the Customer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'SHORT CALL'!$A$3</c:f>
              <c:strCache>
                <c:ptCount val="1"/>
                <c:pt idx="0">
                  <c:v>SERVICE VALUE-COST</c:v>
                </c:pt>
              </c:strCache>
            </c:strRef>
          </c:tx>
          <c:cat>
            <c:numRef>
              <c:f>'SHORT CALL'!$B$2:$N$2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'SHORT CALL'!$B$3:$N$3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'SHORT CALL'!$A$4</c:f>
              <c:strCache>
                <c:ptCount val="1"/>
                <c:pt idx="0">
                  <c:v>WRITE REAL CALL INTRINSIC</c:v>
                </c:pt>
              </c:strCache>
            </c:strRef>
          </c:tx>
          <c:cat>
            <c:numRef>
              <c:f>'SHORT CALL'!$B$2:$N$2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'SHORT CALL'!$B$4:$N$4</c:f>
              <c:numCache>
                <c:formatCode>#,##0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ser>
          <c:idx val="2"/>
          <c:order val="2"/>
          <c:tx>
            <c:strRef>
              <c:f>'SHORT CALL'!$A$5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'SHORT CALL'!$B$2:$N$2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'SHORT CALL'!$B$5:$N$5</c:f>
              <c:numCache>
                <c:formatCode>#,##0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marker val="1"/>
        <c:axId val="199018368"/>
        <c:axId val="66425600"/>
      </c:lineChart>
      <c:catAx>
        <c:axId val="199018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Service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66425600"/>
        <c:crosses val="autoZero"/>
        <c:auto val="1"/>
        <c:lblAlgn val="ctr"/>
        <c:lblOffset val="100"/>
      </c:catAx>
      <c:valAx>
        <c:axId val="66425600"/>
        <c:scaling>
          <c:orientation val="minMax"/>
        </c:scaling>
        <c:axPos val="l"/>
        <c:majorGridlines/>
        <c:numFmt formatCode="#,##0" sourceLinked="1"/>
        <c:tickLblPos val="nextTo"/>
        <c:crossAx val="1990183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</a:t>
            </a:r>
            <a:r>
              <a:rPr lang="en-US" baseline="0"/>
              <a:t> Buys a Call Option from Customer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'LONG CALL'!$A$3</c:f>
              <c:strCache>
                <c:ptCount val="1"/>
                <c:pt idx="0">
                  <c:v>SERVICE VALUE-COST</c:v>
                </c:pt>
              </c:strCache>
            </c:strRef>
          </c:tx>
          <c:cat>
            <c:numRef>
              <c:f>'LONG CALL'!$B$2:$N$2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'LONG CALL'!$B$3:$N$3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'LONG CALL'!$A$4</c:f>
              <c:strCache>
                <c:ptCount val="1"/>
                <c:pt idx="0">
                  <c:v>BUY REAL CALL INTRINSIC</c:v>
                </c:pt>
              </c:strCache>
            </c:strRef>
          </c:tx>
          <c:cat>
            <c:numRef>
              <c:f>'LONG CALL'!$B$2:$N$2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'LONG CALL'!$B$4:$N$4</c:f>
              <c:numCache>
                <c:formatCode>#,##0</c:formatCode>
                <c:ptCount val="13"/>
                <c:pt idx="0">
                  <c:v>-25</c:v>
                </c:pt>
                <c:pt idx="1">
                  <c:v>-25</c:v>
                </c:pt>
                <c:pt idx="2">
                  <c:v>-25</c:v>
                </c:pt>
                <c:pt idx="3">
                  <c:v>-25</c:v>
                </c:pt>
                <c:pt idx="4">
                  <c:v>-25</c:v>
                </c:pt>
                <c:pt idx="5">
                  <c:v>-25</c:v>
                </c:pt>
                <c:pt idx="6">
                  <c:v>-25</c:v>
                </c:pt>
                <c:pt idx="7">
                  <c:v>0</c:v>
                </c:pt>
                <c:pt idx="8">
                  <c:v>25</c:v>
                </c:pt>
                <c:pt idx="9">
                  <c:v>50</c:v>
                </c:pt>
                <c:pt idx="10">
                  <c:v>75</c:v>
                </c:pt>
                <c:pt idx="11">
                  <c:v>100</c:v>
                </c:pt>
                <c:pt idx="12">
                  <c:v>125</c:v>
                </c:pt>
              </c:numCache>
            </c:numRef>
          </c:val>
        </c:ser>
        <c:ser>
          <c:idx val="2"/>
          <c:order val="2"/>
          <c:tx>
            <c:strRef>
              <c:f>'LONG CALL'!$A$5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'LONG CALL'!$B$2:$N$2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'LONG CALL'!$B$5:$N$5</c:f>
              <c:numCache>
                <c:formatCode>#,##0</c:formatCode>
                <c:ptCount val="13"/>
                <c:pt idx="0">
                  <c:v>-175</c:v>
                </c:pt>
                <c:pt idx="1">
                  <c:v>-150</c:v>
                </c:pt>
                <c:pt idx="2">
                  <c:v>-125</c:v>
                </c:pt>
                <c:pt idx="3">
                  <c:v>-100</c:v>
                </c:pt>
                <c:pt idx="4">
                  <c:v>-75</c:v>
                </c:pt>
                <c:pt idx="5">
                  <c:v>-50</c:v>
                </c:pt>
                <c:pt idx="6">
                  <c:v>-25</c:v>
                </c:pt>
                <c:pt idx="7">
                  <c:v>25</c:v>
                </c:pt>
                <c:pt idx="8">
                  <c:v>75</c:v>
                </c:pt>
                <c:pt idx="9">
                  <c:v>125</c:v>
                </c:pt>
                <c:pt idx="10">
                  <c:v>175</c:v>
                </c:pt>
                <c:pt idx="11">
                  <c:v>225</c:v>
                </c:pt>
                <c:pt idx="12">
                  <c:v>275</c:v>
                </c:pt>
              </c:numCache>
            </c:numRef>
          </c:val>
        </c:ser>
        <c:marker val="1"/>
        <c:axId val="66795776"/>
        <c:axId val="66810240"/>
      </c:lineChart>
      <c:catAx>
        <c:axId val="6679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Service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66810240"/>
        <c:crosses val="autoZero"/>
        <c:auto val="1"/>
        <c:lblAlgn val="ctr"/>
        <c:lblOffset val="100"/>
      </c:catAx>
      <c:valAx>
        <c:axId val="66810240"/>
        <c:scaling>
          <c:orientation val="minMax"/>
        </c:scaling>
        <c:axPos val="l"/>
        <c:majorGridlines/>
        <c:numFmt formatCode="#,##0" sourceLinked="1"/>
        <c:tickLblPos val="nextTo"/>
        <c:crossAx val="66795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</a:t>
            </a:r>
            <a:r>
              <a:rPr lang="en-US" baseline="0"/>
              <a:t> Sells a Put Option to Customer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'SHORT PUT'!$A$3</c:f>
              <c:strCache>
                <c:ptCount val="1"/>
                <c:pt idx="0">
                  <c:v>SERVICE VALUE-COST</c:v>
                </c:pt>
              </c:strCache>
            </c:strRef>
          </c:tx>
          <c:cat>
            <c:numRef>
              <c:f>'SHORT PUT'!$B$2:$N$2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'SHORT PUT'!$B$3:$N$3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'SHORT PUT'!$A$4</c:f>
              <c:strCache>
                <c:ptCount val="1"/>
                <c:pt idx="0">
                  <c:v>WRITE REAL PUT INTRINSIC</c:v>
                </c:pt>
              </c:strCache>
            </c:strRef>
          </c:tx>
          <c:cat>
            <c:numRef>
              <c:f>'SHORT PUT'!$B$2:$N$2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'SHORT PUT'!$B$4:$N$4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2"/>
          <c:order val="2"/>
          <c:tx>
            <c:strRef>
              <c:f>'SHORT PUT'!$A$5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'SHORT PUT'!$B$2:$N$2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'SHORT PUT'!$B$5:$N$5</c:f>
              <c:numCache>
                <c:formatCode>General</c:formatCode>
                <c:ptCount val="13"/>
                <c:pt idx="0">
                  <c:v>-275</c:v>
                </c:pt>
                <c:pt idx="1">
                  <c:v>-225</c:v>
                </c:pt>
                <c:pt idx="2">
                  <c:v>-175</c:v>
                </c:pt>
                <c:pt idx="3">
                  <c:v>-125</c:v>
                </c:pt>
                <c:pt idx="4">
                  <c:v>-75</c:v>
                </c:pt>
                <c:pt idx="5">
                  <c:v>-25</c:v>
                </c:pt>
                <c:pt idx="6">
                  <c:v>25</c:v>
                </c:pt>
                <c:pt idx="7">
                  <c:v>50</c:v>
                </c:pt>
                <c:pt idx="8">
                  <c:v>75</c:v>
                </c:pt>
                <c:pt idx="9">
                  <c:v>100</c:v>
                </c:pt>
                <c:pt idx="10">
                  <c:v>125</c:v>
                </c:pt>
                <c:pt idx="11">
                  <c:v>150</c:v>
                </c:pt>
                <c:pt idx="12">
                  <c:v>175</c:v>
                </c:pt>
              </c:numCache>
            </c:numRef>
          </c:val>
        </c:ser>
        <c:marker val="1"/>
        <c:axId val="66893696"/>
        <c:axId val="66895232"/>
      </c:lineChart>
      <c:catAx>
        <c:axId val="66893696"/>
        <c:scaling>
          <c:orientation val="minMax"/>
        </c:scaling>
        <c:axPos val="b"/>
        <c:numFmt formatCode="General" sourceLinked="1"/>
        <c:tickLblPos val="nextTo"/>
        <c:crossAx val="66895232"/>
        <c:crosses val="autoZero"/>
        <c:auto val="1"/>
        <c:lblAlgn val="ctr"/>
        <c:lblOffset val="100"/>
      </c:catAx>
      <c:valAx>
        <c:axId val="66895232"/>
        <c:scaling>
          <c:orientation val="minMax"/>
        </c:scaling>
        <c:axPos val="l"/>
        <c:majorGridlines/>
        <c:numFmt formatCode="General" sourceLinked="1"/>
        <c:tickLblPos val="nextTo"/>
        <c:crossAx val="668936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 Buys a Protective Put Option </a:t>
            </a:r>
          </a:p>
          <a:p>
            <a:pPr>
              <a:defRPr/>
            </a:pPr>
            <a:r>
              <a:rPr lang="en-US"/>
              <a:t>from the Customer or Sponser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4971751412429385"/>
          <c:y val="2.3529419030235917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'LONG PUT'!$A$3</c:f>
              <c:strCache>
                <c:ptCount val="1"/>
                <c:pt idx="0">
                  <c:v>SERVICE VALUE-COST</c:v>
                </c:pt>
              </c:strCache>
            </c:strRef>
          </c:tx>
          <c:cat>
            <c:numRef>
              <c:f>'LONG PUT'!$B$2:$N$2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'LONG PUT'!$B$3:$N$3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'LONG PUT'!$A$4</c:f>
              <c:strCache>
                <c:ptCount val="1"/>
                <c:pt idx="0">
                  <c:v>BUY REAL PUT INTRINSIC</c:v>
                </c:pt>
              </c:strCache>
            </c:strRef>
          </c:tx>
          <c:cat>
            <c:numRef>
              <c:f>'LONG PUT'!$B$2:$N$2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'LONG PUT'!$B$4:$N$4</c:f>
              <c:numCache>
                <c:formatCode>General</c:formatCode>
                <c:ptCount val="13"/>
                <c:pt idx="0">
                  <c:v>125</c:v>
                </c:pt>
                <c:pt idx="1">
                  <c:v>100</c:v>
                </c:pt>
                <c:pt idx="2">
                  <c:v>75</c:v>
                </c:pt>
                <c:pt idx="3">
                  <c:v>50</c:v>
                </c:pt>
                <c:pt idx="4">
                  <c:v>25</c:v>
                </c:pt>
                <c:pt idx="5">
                  <c:v>0</c:v>
                </c:pt>
                <c:pt idx="6">
                  <c:v>-25</c:v>
                </c:pt>
                <c:pt idx="7">
                  <c:v>-25</c:v>
                </c:pt>
                <c:pt idx="8">
                  <c:v>-25</c:v>
                </c:pt>
                <c:pt idx="9">
                  <c:v>-25</c:v>
                </c:pt>
                <c:pt idx="10">
                  <c:v>-25</c:v>
                </c:pt>
                <c:pt idx="11">
                  <c:v>-25</c:v>
                </c:pt>
                <c:pt idx="12">
                  <c:v>-25</c:v>
                </c:pt>
              </c:numCache>
            </c:numRef>
          </c:val>
        </c:ser>
        <c:ser>
          <c:idx val="2"/>
          <c:order val="2"/>
          <c:tx>
            <c:strRef>
              <c:f>'LONG PUT'!$A$5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'LONG PUT'!$B$2:$N$2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'LONG PUT'!$B$5:$N$5</c:f>
              <c:numCache>
                <c:formatCode>General</c:formatCode>
                <c:ptCount val="13"/>
                <c:pt idx="0">
                  <c:v>-25</c:v>
                </c:pt>
                <c:pt idx="1">
                  <c:v>-25</c:v>
                </c:pt>
                <c:pt idx="2">
                  <c:v>-25</c:v>
                </c:pt>
                <c:pt idx="3">
                  <c:v>-25</c:v>
                </c:pt>
                <c:pt idx="4">
                  <c:v>-25</c:v>
                </c:pt>
                <c:pt idx="5">
                  <c:v>-25</c:v>
                </c:pt>
                <c:pt idx="6">
                  <c:v>-25</c:v>
                </c:pt>
                <c:pt idx="7">
                  <c:v>0</c:v>
                </c:pt>
                <c:pt idx="8">
                  <c:v>25</c:v>
                </c:pt>
                <c:pt idx="9">
                  <c:v>50</c:v>
                </c:pt>
                <c:pt idx="10">
                  <c:v>75</c:v>
                </c:pt>
                <c:pt idx="11">
                  <c:v>100</c:v>
                </c:pt>
                <c:pt idx="12">
                  <c:v>125</c:v>
                </c:pt>
              </c:numCache>
            </c:numRef>
          </c:val>
        </c:ser>
        <c:marker val="1"/>
        <c:axId val="66946176"/>
        <c:axId val="66948096"/>
      </c:lineChart>
      <c:catAx>
        <c:axId val="66946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Service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66948096"/>
        <c:crosses val="autoZero"/>
        <c:auto val="1"/>
        <c:lblAlgn val="ctr"/>
        <c:lblOffset val="100"/>
      </c:catAx>
      <c:valAx>
        <c:axId val="66948096"/>
        <c:scaling>
          <c:orientation val="minMax"/>
        </c:scaling>
        <c:axPos val="l"/>
        <c:majorGridlines/>
        <c:numFmt formatCode="General" sourceLinked="1"/>
        <c:tickLblPos val="nextTo"/>
        <c:crossAx val="669461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Switching Class</a:t>
            </a:r>
            <a:r>
              <a:rPr lang="en-US" baseline="0"/>
              <a:t> Fare Spread as </a:t>
            </a:r>
          </a:p>
          <a:p>
            <a:pPr>
              <a:defRPr/>
            </a:pPr>
            <a:r>
              <a:rPr lang="en-US" baseline="0"/>
              <a:t>Function of Fare Correlation 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'MS Correlation'!$C$9:$G$9</c:f>
              <c:numCache>
                <c:formatCode>0.00</c:formatCode>
                <c:ptCount val="5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</c:numCache>
            </c:numRef>
          </c:cat>
          <c:val>
            <c:numRef>
              <c:f>'MS Correlation'!$C$51:$G$51</c:f>
              <c:numCache>
                <c:formatCode>0.00</c:formatCode>
                <c:ptCount val="5"/>
                <c:pt idx="0">
                  <c:v>192.99740094916189</c:v>
                </c:pt>
                <c:pt idx="1">
                  <c:v>181.90214077148804</c:v>
                </c:pt>
                <c:pt idx="2">
                  <c:v>168.08766293361384</c:v>
                </c:pt>
                <c:pt idx="3">
                  <c:v>149.29598954691286</c:v>
                </c:pt>
                <c:pt idx="4">
                  <c:v>116.37761955928757</c:v>
                </c:pt>
              </c:numCache>
            </c:numRef>
          </c:val>
        </c:ser>
        <c:marker val="1"/>
        <c:axId val="67082880"/>
        <c:axId val="67191552"/>
      </c:lineChart>
      <c:catAx>
        <c:axId val="6708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Fare Correlation</a:t>
                </a:r>
                <a:endParaRPr lang="en-US"/>
              </a:p>
            </c:rich>
          </c:tx>
        </c:title>
        <c:numFmt formatCode="0.00" sourceLinked="1"/>
        <c:tickLblPos val="nextTo"/>
        <c:crossAx val="67191552"/>
        <c:crosses val="autoZero"/>
        <c:auto val="1"/>
        <c:lblAlgn val="ctr"/>
        <c:lblOffset val="100"/>
      </c:catAx>
      <c:valAx>
        <c:axId val="67191552"/>
        <c:scaling>
          <c:orientation val="minMax"/>
          <c:max val="200"/>
          <c:min val="110"/>
        </c:scaling>
        <c:axPos val="l"/>
        <c:majorGridlines/>
        <c:numFmt formatCode="0" sourceLinked="0"/>
        <c:tickLblPos val="nextTo"/>
        <c:crossAx val="67082880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Optimal</a:t>
            </a:r>
            <a:r>
              <a:rPr lang="en-US" baseline="0"/>
              <a:t> Booking Limit for Discount Passengers as Function of Full Fare Passenger Volatility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'Capacity Allocation, Vary Vol'!$B$7:$G$7</c:f>
              <c:numCache>
                <c:formatCode>0</c:formatCode>
                <c:ptCount val="6"/>
                <c:pt idx="0">
                  <c:v>1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</c:numCache>
            </c:numRef>
          </c:cat>
          <c:val>
            <c:numRef>
              <c:f>'Capacity Allocation, Vary Vol'!$B$10:$G$10</c:f>
              <c:numCache>
                <c:formatCode>0</c:formatCode>
                <c:ptCount val="6"/>
                <c:pt idx="0">
                  <c:v>49.746652896864198</c:v>
                </c:pt>
                <c:pt idx="1">
                  <c:v>43.666322421605003</c:v>
                </c:pt>
                <c:pt idx="2">
                  <c:v>37.332644843210005</c:v>
                </c:pt>
                <c:pt idx="3">
                  <c:v>30.998967264815008</c:v>
                </c:pt>
                <c:pt idx="4">
                  <c:v>24.66528968642001</c:v>
                </c:pt>
                <c:pt idx="5">
                  <c:v>18.331612108025013</c:v>
                </c:pt>
              </c:numCache>
            </c:numRef>
          </c:val>
        </c:ser>
        <c:marker val="1"/>
        <c:axId val="69362048"/>
        <c:axId val="69363968"/>
      </c:lineChart>
      <c:catAx>
        <c:axId val="69362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Full</a:t>
                </a:r>
                <a:r>
                  <a:rPr lang="en-US" baseline="0"/>
                  <a:t> Fare Demand Volatility</a:t>
                </a:r>
                <a:endParaRPr lang="en-US"/>
              </a:p>
            </c:rich>
          </c:tx>
        </c:title>
        <c:numFmt formatCode="0" sourceLinked="1"/>
        <c:tickLblPos val="nextTo"/>
        <c:crossAx val="69363968"/>
        <c:crosses val="autoZero"/>
        <c:auto val="1"/>
        <c:lblAlgn val="ctr"/>
        <c:lblOffset val="100"/>
      </c:catAx>
      <c:valAx>
        <c:axId val="69363968"/>
        <c:scaling>
          <c:orientation val="minMax"/>
        </c:scaling>
        <c:axPos val="l"/>
        <c:majorGridlines/>
        <c:numFmt formatCode="0" sourceLinked="1"/>
        <c:tickLblPos val="nextTo"/>
        <c:crossAx val="69362048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Discount</a:t>
            </a:r>
            <a:r>
              <a:rPr lang="en-US" baseline="0"/>
              <a:t> Booking Limit as</a:t>
            </a:r>
          </a:p>
          <a:p>
            <a:pPr>
              <a:defRPr/>
            </a:pPr>
            <a:r>
              <a:rPr lang="en-US" baseline="0"/>
              <a:t> Function of Relative Fares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'Capacity Allocation, Vary Fares'!$B$3:$J$3</c:f>
              <c:numCache>
                <c:formatCode>0.00</c:formatCode>
                <c:ptCount val="9"/>
                <c:pt idx="0">
                  <c:v>0.3</c:v>
                </c:pt>
                <c:pt idx="1">
                  <c:v>0.35</c:v>
                </c:pt>
                <c:pt idx="2">
                  <c:v>0.4</c:v>
                </c:pt>
                <c:pt idx="3">
                  <c:v>0.45</c:v>
                </c:pt>
                <c:pt idx="4">
                  <c:v>0.5</c:v>
                </c:pt>
                <c:pt idx="5">
                  <c:v>0.55000000000000004</c:v>
                </c:pt>
                <c:pt idx="6">
                  <c:v>0.6</c:v>
                </c:pt>
                <c:pt idx="7">
                  <c:v>0.65</c:v>
                </c:pt>
                <c:pt idx="8">
                  <c:v>0.7</c:v>
                </c:pt>
              </c:numCache>
            </c:numRef>
          </c:cat>
          <c:val>
            <c:numRef>
              <c:f>'Capacity Allocation, Vary Fares'!$B$2:$J$2</c:f>
              <c:numCache>
                <c:formatCode>0</c:formatCode>
                <c:ptCount val="9"/>
                <c:pt idx="0">
                  <c:v>0</c:v>
                </c:pt>
                <c:pt idx="1">
                  <c:v>11.467953359243225</c:v>
                </c:pt>
                <c:pt idx="2">
                  <c:v>24.66528968642001</c:v>
                </c:pt>
                <c:pt idx="3">
                  <c:v>37.4338653144926</c:v>
                </c:pt>
                <c:pt idx="4">
                  <c:v>49.999999999999986</c:v>
                </c:pt>
                <c:pt idx="5">
                  <c:v>62.5661346855074</c:v>
                </c:pt>
                <c:pt idx="6">
                  <c:v>75.334710313579961</c:v>
                </c:pt>
                <c:pt idx="7">
                  <c:v>88.532046640756761</c:v>
                </c:pt>
                <c:pt idx="8">
                  <c:v>100</c:v>
                </c:pt>
              </c:numCache>
            </c:numRef>
          </c:val>
        </c:ser>
        <c:marker val="1"/>
        <c:axId val="69425024"/>
        <c:axId val="69455872"/>
      </c:lineChart>
      <c:catAx>
        <c:axId val="6942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Fares</a:t>
                </a:r>
                <a:endParaRPr lang="en-US"/>
              </a:p>
            </c:rich>
          </c:tx>
        </c:title>
        <c:numFmt formatCode="0.00" sourceLinked="1"/>
        <c:tickLblPos val="nextTo"/>
        <c:crossAx val="69455872"/>
        <c:crosses val="autoZero"/>
        <c:auto val="1"/>
        <c:lblAlgn val="ctr"/>
        <c:lblOffset val="100"/>
      </c:catAx>
      <c:valAx>
        <c:axId val="6945587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942502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Overbooking</a:t>
            </a:r>
            <a:r>
              <a:rPr lang="en-US" baseline="0"/>
              <a:t> as a Function of Mean No Shows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'SNS Vary Mean '!$B$5:$I$5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'SNS Vary Mean '!$B$7:$I$7</c:f>
              <c:numCache>
                <c:formatCode>0.00</c:formatCode>
                <c:ptCount val="8"/>
                <c:pt idx="0">
                  <c:v>0</c:v>
                </c:pt>
                <c:pt idx="1">
                  <c:v>3.5436925072401788</c:v>
                </c:pt>
                <c:pt idx="2">
                  <c:v>8.5436925072401788</c:v>
                </c:pt>
                <c:pt idx="3">
                  <c:v>13.543692507240179</c:v>
                </c:pt>
                <c:pt idx="4">
                  <c:v>18.543692507240181</c:v>
                </c:pt>
                <c:pt idx="5">
                  <c:v>23.543692507240181</c:v>
                </c:pt>
                <c:pt idx="6">
                  <c:v>28.543692507240181</c:v>
                </c:pt>
                <c:pt idx="7">
                  <c:v>33.543692507240181</c:v>
                </c:pt>
              </c:numCache>
            </c:numRef>
          </c:val>
        </c:ser>
        <c:marker val="1"/>
        <c:axId val="69528960"/>
        <c:axId val="69539328"/>
      </c:lineChart>
      <c:catAx>
        <c:axId val="6952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Expected</a:t>
                </a:r>
                <a:r>
                  <a:rPr lang="en-US" baseline="0"/>
                  <a:t> No Shows</a:t>
                </a:r>
                <a:endParaRPr lang="en-US"/>
              </a:p>
            </c:rich>
          </c:tx>
        </c:title>
        <c:numFmt formatCode="General" sourceLinked="1"/>
        <c:tickLblPos val="nextTo"/>
        <c:crossAx val="69539328"/>
        <c:crosses val="autoZero"/>
        <c:auto val="1"/>
        <c:lblAlgn val="ctr"/>
        <c:lblOffset val="100"/>
      </c:catAx>
      <c:valAx>
        <c:axId val="69539328"/>
        <c:scaling>
          <c:orientation val="minMax"/>
        </c:scaling>
        <c:axPos val="l"/>
        <c:majorGridlines/>
        <c:numFmt formatCode="0.00" sourceLinked="1"/>
        <c:tickLblPos val="nextTo"/>
        <c:crossAx val="6952896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Overbooking</a:t>
            </a:r>
            <a:r>
              <a:rPr lang="en-US" baseline="0"/>
              <a:t> as a Function of No Show Volatility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'SNS Vary Vol'!$B$6:$I$6</c:f>
              <c:numCache>
                <c:formatCode>General</c:formatCode>
                <c:ptCount val="8"/>
                <c:pt idx="0" formatCode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cat>
          <c:val>
            <c:numRef>
              <c:f>'SNS Vary Vol'!$B$7:$I$7</c:f>
              <c:numCache>
                <c:formatCode>0.00</c:formatCode>
                <c:ptCount val="8"/>
                <c:pt idx="0">
                  <c:v>19.354369250724019</c:v>
                </c:pt>
                <c:pt idx="1">
                  <c:v>16.77184625362009</c:v>
                </c:pt>
                <c:pt idx="2">
                  <c:v>13.543692507240179</c:v>
                </c:pt>
                <c:pt idx="3">
                  <c:v>10.315538760860269</c:v>
                </c:pt>
                <c:pt idx="4">
                  <c:v>7.0873850144803576</c:v>
                </c:pt>
                <c:pt idx="5">
                  <c:v>3.8592312681004479</c:v>
                </c:pt>
                <c:pt idx="6">
                  <c:v>0.63107752172053821</c:v>
                </c:pt>
                <c:pt idx="7">
                  <c:v>0</c:v>
                </c:pt>
              </c:numCache>
            </c:numRef>
          </c:val>
        </c:ser>
        <c:marker val="1"/>
        <c:axId val="69567616"/>
        <c:axId val="69569536"/>
      </c:lineChart>
      <c:catAx>
        <c:axId val="69567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0"/>
                  <a:t> Show Volatility</a:t>
                </a:r>
                <a:endParaRPr lang="en-US"/>
              </a:p>
            </c:rich>
          </c:tx>
        </c:title>
        <c:numFmt formatCode="0" sourceLinked="1"/>
        <c:tickLblPos val="nextTo"/>
        <c:crossAx val="69569536"/>
        <c:crosses val="autoZero"/>
        <c:auto val="1"/>
        <c:lblAlgn val="ctr"/>
        <c:lblOffset val="100"/>
      </c:catAx>
      <c:valAx>
        <c:axId val="69569536"/>
        <c:scaling>
          <c:orientation val="minMax"/>
          <c:max val="20"/>
          <c:min val="0"/>
        </c:scaling>
        <c:axPos val="l"/>
        <c:majorGridlines/>
        <c:numFmt formatCode="0.00" sourceLinked="1"/>
        <c:tickLblPos val="nextTo"/>
        <c:crossAx val="6956761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Optimal Overbooking as Function of Compensation</a:t>
            </a:r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'SNS Vary COM'!$B$3:$I$3</c:f>
              <c:numCache>
                <c:formatCode>General</c:formatCode>
                <c:ptCount val="8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</c:numCache>
            </c:numRef>
          </c:cat>
          <c:val>
            <c:numRef>
              <c:f>'SNS Vary COM'!$B$7:$I$7</c:f>
              <c:numCache>
                <c:formatCode>0.00</c:formatCode>
                <c:ptCount val="8"/>
                <c:pt idx="0">
                  <c:v>15.991418865080771</c:v>
                </c:pt>
                <c:pt idx="1">
                  <c:v>13.543692507240179</c:v>
                </c:pt>
                <c:pt idx="2">
                  <c:v>11.863431918848065</c:v>
                </c:pt>
                <c:pt idx="3">
                  <c:v>10.597852902503979</c:v>
                </c:pt>
                <c:pt idx="4">
                  <c:v>9.589930882438825</c:v>
                </c:pt>
                <c:pt idx="5">
                  <c:v>8.756617684313607</c:v>
                </c:pt>
                <c:pt idx="6">
                  <c:v>8.0489036719358573</c:v>
                </c:pt>
                <c:pt idx="7">
                  <c:v>7.4355651470973605</c:v>
                </c:pt>
              </c:numCache>
            </c:numRef>
          </c:val>
        </c:ser>
        <c:marker val="1"/>
        <c:axId val="67160704"/>
        <c:axId val="69673728"/>
      </c:lineChart>
      <c:catAx>
        <c:axId val="671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</a:t>
                </a:r>
                <a:r>
                  <a:rPr lang="en-US" baseline="0"/>
                  <a:t> Compensation</a:t>
                </a:r>
                <a:endParaRPr lang="en-US"/>
              </a:p>
            </c:rich>
          </c:tx>
        </c:title>
        <c:numFmt formatCode="General" sourceLinked="1"/>
        <c:tickLblPos val="nextTo"/>
        <c:crossAx val="69673728"/>
        <c:crosses val="autoZero"/>
        <c:auto val="1"/>
        <c:lblAlgn val="ctr"/>
        <c:lblOffset val="100"/>
      </c:catAx>
      <c:valAx>
        <c:axId val="69673728"/>
        <c:scaling>
          <c:orientation val="minMax"/>
        </c:scaling>
        <c:axPos val="l"/>
        <c:majorGridlines/>
        <c:numFmt formatCode="0.00" sourceLinked="1"/>
        <c:tickLblPos val="nextTo"/>
        <c:crossAx val="6716070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Revenue as </a:t>
            </a:r>
          </a:p>
          <a:p>
            <a:pPr>
              <a:defRPr/>
            </a:pPr>
            <a:r>
              <a:rPr lang="en-US" baseline="0"/>
              <a:t>Function of Relative BOS-MAN Airfares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'Problem 13.5'!$B$7:$K$7</c:f>
              <c:numCache>
                <c:formatCode>0.00</c:formatCode>
                <c:ptCount val="10"/>
                <c:pt idx="0">
                  <c:v>0.55555555555555558</c:v>
                </c:pt>
                <c:pt idx="1">
                  <c:v>0.5</c:v>
                </c:pt>
                <c:pt idx="2">
                  <c:v>0.45454545454545453</c:v>
                </c:pt>
                <c:pt idx="3">
                  <c:v>0.41666666666666669</c:v>
                </c:pt>
                <c:pt idx="4">
                  <c:v>0.38461538461538464</c:v>
                </c:pt>
                <c:pt idx="5">
                  <c:v>0.35714285714285715</c:v>
                </c:pt>
                <c:pt idx="6">
                  <c:v>0.33333333333333331</c:v>
                </c:pt>
                <c:pt idx="7">
                  <c:v>0.3125</c:v>
                </c:pt>
                <c:pt idx="8">
                  <c:v>0.29411764705882354</c:v>
                </c:pt>
                <c:pt idx="9">
                  <c:v>0.27777777777777779</c:v>
                </c:pt>
              </c:numCache>
            </c:numRef>
          </c:cat>
          <c:val>
            <c:numRef>
              <c:f>'Problem 13.5'!$B$10:$K$10</c:f>
              <c:numCache>
                <c:formatCode>"$"#,##0</c:formatCode>
                <c:ptCount val="10"/>
                <c:pt idx="0">
                  <c:v>76985.514944093098</c:v>
                </c:pt>
                <c:pt idx="1">
                  <c:v>73875</c:v>
                </c:pt>
                <c:pt idx="2">
                  <c:v>71847.915798558039</c:v>
                </c:pt>
                <c:pt idx="3">
                  <c:v>70535.214315839316</c:v>
                </c:pt>
                <c:pt idx="4">
                  <c:v>69710.902469849447</c:v>
                </c:pt>
                <c:pt idx="5">
                  <c:v>69226.457450470974</c:v>
                </c:pt>
                <c:pt idx="6">
                  <c:v>68979.066823519737</c:v>
                </c:pt>
                <c:pt idx="7">
                  <c:v>71600</c:v>
                </c:pt>
                <c:pt idx="8">
                  <c:v>74800</c:v>
                </c:pt>
                <c:pt idx="9">
                  <c:v>77850</c:v>
                </c:pt>
              </c:numCache>
            </c:numRef>
          </c:val>
        </c:ser>
        <c:marker val="1"/>
        <c:axId val="69943680"/>
        <c:axId val="69945600"/>
      </c:lineChart>
      <c:catAx>
        <c:axId val="69943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Airfares</a:t>
                </a:r>
                <a:endParaRPr lang="en-US"/>
              </a:p>
            </c:rich>
          </c:tx>
        </c:title>
        <c:numFmt formatCode="0.00" sourceLinked="1"/>
        <c:tickLblPos val="nextTo"/>
        <c:crossAx val="69945600"/>
        <c:crosses val="autoZero"/>
        <c:auto val="1"/>
        <c:lblAlgn val="ctr"/>
        <c:lblOffset val="100"/>
      </c:catAx>
      <c:valAx>
        <c:axId val="69945600"/>
        <c:scaling>
          <c:orientation val="minMax"/>
          <c:max val="78000"/>
          <c:min val="68000"/>
        </c:scaling>
        <c:axPos val="l"/>
        <c:majorGridlines/>
        <c:numFmt formatCode="&quot;$&quot;#,##0" sourceLinked="1"/>
        <c:tickLblPos val="nextTo"/>
        <c:crossAx val="6994368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Optimal</a:t>
            </a:r>
            <a:r>
              <a:rPr lang="en-US" baseline="0"/>
              <a:t> MassAir Overbooking as </a:t>
            </a:r>
          </a:p>
          <a:p>
            <a:pPr>
              <a:defRPr/>
            </a:pPr>
            <a:r>
              <a:rPr lang="en-US" baseline="0"/>
              <a:t>Function of Required Compensation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'Problem 13.6'!$B$3:$I$3</c:f>
              <c:numCache>
                <c:formatCode>General</c:formatCode>
                <c:ptCount val="8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</c:numCache>
            </c:numRef>
          </c:cat>
          <c:val>
            <c:numRef>
              <c:f>'Problem 13.6'!$B$7:$I$7</c:f>
              <c:numCache>
                <c:formatCode>0.00</c:formatCode>
                <c:ptCount val="8"/>
                <c:pt idx="0">
                  <c:v>49.999999999999986</c:v>
                </c:pt>
                <c:pt idx="1">
                  <c:v>38.58147056785716</c:v>
                </c:pt>
                <c:pt idx="2">
                  <c:v>28.957160575207531</c:v>
                </c:pt>
                <c:pt idx="3">
                  <c:v>20.661876787880672</c:v>
                </c:pt>
                <c:pt idx="4">
                  <c:v>13.389364319943034</c:v>
                </c:pt>
                <c:pt idx="5">
                  <c:v>6.9272700704542487</c:v>
                </c:pt>
                <c:pt idx="6">
                  <c:v>1.12235888853305</c:v>
                </c:pt>
                <c:pt idx="7">
                  <c:v>0</c:v>
                </c:pt>
              </c:numCache>
            </c:numRef>
          </c:val>
        </c:ser>
        <c:marker val="1"/>
        <c:axId val="69998464"/>
        <c:axId val="70025216"/>
      </c:lineChart>
      <c:catAx>
        <c:axId val="69998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Required</a:t>
                </a:r>
                <a:r>
                  <a:rPr lang="en-US" baseline="0"/>
                  <a:t> Compensation </a:t>
                </a:r>
                <a:endParaRPr lang="en-US"/>
              </a:p>
            </c:rich>
          </c:tx>
        </c:title>
        <c:numFmt formatCode="General" sourceLinked="1"/>
        <c:tickLblPos val="nextTo"/>
        <c:crossAx val="70025216"/>
        <c:crosses val="autoZero"/>
        <c:auto val="1"/>
        <c:lblAlgn val="ctr"/>
        <c:lblOffset val="100"/>
      </c:catAx>
      <c:valAx>
        <c:axId val="70025216"/>
        <c:scaling>
          <c:orientation val="minMax"/>
        </c:scaling>
        <c:axPos val="l"/>
        <c:majorGridlines/>
        <c:numFmt formatCode="0.00" sourceLinked="1"/>
        <c:tickLblPos val="nextTo"/>
        <c:crossAx val="6999846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180974</xdr:rowOff>
    </xdr:from>
    <xdr:to>
      <xdr:col>13</xdr:col>
      <xdr:colOff>371475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9524</xdr:rowOff>
    </xdr:from>
    <xdr:to>
      <xdr:col>13</xdr:col>
      <xdr:colOff>371475</xdr:colOff>
      <xdr:row>29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19051</xdr:rowOff>
    </xdr:from>
    <xdr:to>
      <xdr:col>13</xdr:col>
      <xdr:colOff>371475</xdr:colOff>
      <xdr:row>29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9525</xdr:rowOff>
    </xdr:from>
    <xdr:to>
      <xdr:col>13</xdr:col>
      <xdr:colOff>371475</xdr:colOff>
      <xdr:row>29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11206</xdr:rowOff>
    </xdr:from>
    <xdr:to>
      <xdr:col>8</xdr:col>
      <xdr:colOff>593911</xdr:colOff>
      <xdr:row>57</xdr:row>
      <xdr:rowOff>179294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9524</xdr:rowOff>
    </xdr:from>
    <xdr:to>
      <xdr:col>6</xdr:col>
      <xdr:colOff>600075</xdr:colOff>
      <xdr:row>27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</xdr:row>
      <xdr:rowOff>171450</xdr:rowOff>
    </xdr:from>
    <xdr:to>
      <xdr:col>9</xdr:col>
      <xdr:colOff>600074</xdr:colOff>
      <xdr:row>28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19050</xdr:rowOff>
    </xdr:from>
    <xdr:to>
      <xdr:col>8</xdr:col>
      <xdr:colOff>600075</xdr:colOff>
      <xdr:row>26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171449</xdr:rowOff>
    </xdr:from>
    <xdr:to>
      <xdr:col>9</xdr:col>
      <xdr:colOff>9525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8</xdr:col>
      <xdr:colOff>600075</xdr:colOff>
      <xdr:row>26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180975</xdr:rowOff>
    </xdr:from>
    <xdr:to>
      <xdr:col>11</xdr:col>
      <xdr:colOff>9525</xdr:colOff>
      <xdr:row>43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9525</xdr:rowOff>
    </xdr:from>
    <xdr:to>
      <xdr:col>8</xdr:col>
      <xdr:colOff>600075</xdr:colOff>
      <xdr:row>28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sqref="A1:C25"/>
    </sheetView>
  </sheetViews>
  <sheetFormatPr defaultRowHeight="15"/>
  <cols>
    <col min="1" max="1" width="21.5703125" bestFit="1" customWidth="1"/>
    <col min="2" max="2" width="37.42578125" bestFit="1" customWidth="1"/>
    <col min="3" max="3" width="9.7109375" bestFit="1" customWidth="1"/>
  </cols>
  <sheetData>
    <row r="1" spans="1:10">
      <c r="A1" s="5" t="s">
        <v>169</v>
      </c>
      <c r="B1" s="5"/>
      <c r="C1" s="5"/>
      <c r="J1" t="s">
        <v>2</v>
      </c>
    </row>
    <row r="2" spans="1:10">
      <c r="A2" s="7" t="s">
        <v>170</v>
      </c>
      <c r="C2" t="s">
        <v>2</v>
      </c>
    </row>
    <row r="3" spans="1:10">
      <c r="A3" s="8" t="s">
        <v>16</v>
      </c>
      <c r="B3" t="s">
        <v>258</v>
      </c>
    </row>
    <row r="4" spans="1:10">
      <c r="A4" s="7"/>
      <c r="B4" t="s">
        <v>259</v>
      </c>
    </row>
    <row r="5" spans="1:10">
      <c r="A5" s="7"/>
      <c r="B5" t="s">
        <v>260</v>
      </c>
    </row>
    <row r="6" spans="1:10">
      <c r="A6" s="7"/>
      <c r="B6" t="s">
        <v>261</v>
      </c>
    </row>
    <row r="7" spans="1:10">
      <c r="A7" t="s">
        <v>171</v>
      </c>
      <c r="B7" t="s">
        <v>184</v>
      </c>
      <c r="C7" t="s">
        <v>172</v>
      </c>
    </row>
    <row r="8" spans="1:10">
      <c r="B8" t="s">
        <v>173</v>
      </c>
      <c r="C8" t="s">
        <v>174</v>
      </c>
    </row>
    <row r="9" spans="1:10">
      <c r="B9" t="s">
        <v>185</v>
      </c>
      <c r="C9" t="s">
        <v>175</v>
      </c>
    </row>
    <row r="10" spans="1:10">
      <c r="A10" t="s">
        <v>14</v>
      </c>
      <c r="B10" t="s">
        <v>176</v>
      </c>
      <c r="C10" t="s">
        <v>177</v>
      </c>
    </row>
    <row r="11" spans="1:10">
      <c r="B11" t="s">
        <v>179</v>
      </c>
      <c r="C11" t="s">
        <v>178</v>
      </c>
    </row>
    <row r="12" spans="1:10">
      <c r="B12" t="s">
        <v>181</v>
      </c>
      <c r="C12" t="s">
        <v>180</v>
      </c>
    </row>
    <row r="13" spans="1:10">
      <c r="B13" t="s">
        <v>182</v>
      </c>
      <c r="C13" t="s">
        <v>183</v>
      </c>
    </row>
    <row r="14" spans="1:10">
      <c r="A14" t="s">
        <v>15</v>
      </c>
      <c r="B14" t="s">
        <v>186</v>
      </c>
      <c r="C14" t="s">
        <v>187</v>
      </c>
    </row>
    <row r="15" spans="1:10">
      <c r="B15" t="s">
        <v>192</v>
      </c>
      <c r="C15" t="s">
        <v>188</v>
      </c>
    </row>
    <row r="16" spans="1:10">
      <c r="B16" t="s">
        <v>193</v>
      </c>
      <c r="C16" t="s">
        <v>189</v>
      </c>
    </row>
    <row r="17" spans="1:3">
      <c r="B17" t="s">
        <v>194</v>
      </c>
      <c r="C17" t="s">
        <v>190</v>
      </c>
    </row>
    <row r="18" spans="1:3">
      <c r="B18" t="s">
        <v>195</v>
      </c>
      <c r="C18" t="s">
        <v>191</v>
      </c>
    </row>
    <row r="20" spans="1:3">
      <c r="A20" t="s">
        <v>196</v>
      </c>
      <c r="B20" t="s">
        <v>202</v>
      </c>
    </row>
    <row r="21" spans="1:3">
      <c r="A21" t="s">
        <v>198</v>
      </c>
      <c r="B21" t="s">
        <v>204</v>
      </c>
    </row>
    <row r="22" spans="1:3">
      <c r="A22" t="s">
        <v>199</v>
      </c>
      <c r="B22" t="s">
        <v>206</v>
      </c>
    </row>
    <row r="23" spans="1:3">
      <c r="A23" t="s">
        <v>197</v>
      </c>
      <c r="B23" t="s">
        <v>203</v>
      </c>
    </row>
    <row r="24" spans="1:3">
      <c r="A24" t="s">
        <v>200</v>
      </c>
      <c r="B24" t="s">
        <v>205</v>
      </c>
    </row>
    <row r="25" spans="1:3">
      <c r="A25" t="s">
        <v>201</v>
      </c>
      <c r="B25" t="s">
        <v>207</v>
      </c>
    </row>
  </sheetData>
  <printOptions horizontalCentered="1" verticalCentered="1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sqref="A1:N30"/>
    </sheetView>
  </sheetViews>
  <sheetFormatPr defaultRowHeight="15"/>
  <cols>
    <col min="1" max="1" width="27.28515625" bestFit="1" customWidth="1"/>
    <col min="2" max="14" width="5.7109375" customWidth="1"/>
  </cols>
  <sheetData>
    <row r="1" spans="1:14" ht="18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t="s">
        <v>25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26</v>
      </c>
      <c r="B3" s="6">
        <f>B2-$B$6</f>
        <v>-150</v>
      </c>
      <c r="C3" s="6">
        <f t="shared" ref="C3:N3" si="1">C2-$B$6</f>
        <v>-125</v>
      </c>
      <c r="D3" s="6">
        <f t="shared" si="1"/>
        <v>-100</v>
      </c>
      <c r="E3" s="6">
        <f t="shared" si="1"/>
        <v>-75</v>
      </c>
      <c r="F3" s="6">
        <f t="shared" si="1"/>
        <v>-50</v>
      </c>
      <c r="G3" s="6">
        <f t="shared" si="1"/>
        <v>-25</v>
      </c>
      <c r="H3" s="6">
        <f t="shared" si="1"/>
        <v>0</v>
      </c>
      <c r="I3" s="6">
        <f t="shared" si="1"/>
        <v>25</v>
      </c>
      <c r="J3" s="6">
        <f t="shared" si="1"/>
        <v>50</v>
      </c>
      <c r="K3" s="6">
        <f t="shared" si="1"/>
        <v>75</v>
      </c>
      <c r="L3" s="6">
        <f t="shared" si="1"/>
        <v>100</v>
      </c>
      <c r="M3" s="6">
        <f t="shared" si="1"/>
        <v>125</v>
      </c>
      <c r="N3" s="6">
        <f t="shared" si="1"/>
        <v>150</v>
      </c>
    </row>
    <row r="4" spans="1:14">
      <c r="A4" t="s">
        <v>18</v>
      </c>
      <c r="B4" s="6">
        <f t="shared" ref="B4:N4" si="2">IF(B3&gt;0,-B3+$B$7,$B$7)</f>
        <v>25</v>
      </c>
      <c r="C4" s="6">
        <f t="shared" si="2"/>
        <v>25</v>
      </c>
      <c r="D4" s="6">
        <f t="shared" si="2"/>
        <v>25</v>
      </c>
      <c r="E4" s="6">
        <f t="shared" si="2"/>
        <v>25</v>
      </c>
      <c r="F4" s="6">
        <f t="shared" si="2"/>
        <v>25</v>
      </c>
      <c r="G4" s="6">
        <f t="shared" si="2"/>
        <v>25</v>
      </c>
      <c r="H4" s="6">
        <f t="shared" si="2"/>
        <v>25</v>
      </c>
      <c r="I4" s="6">
        <f t="shared" si="2"/>
        <v>0</v>
      </c>
      <c r="J4" s="6">
        <f t="shared" si="2"/>
        <v>-25</v>
      </c>
      <c r="K4" s="6">
        <f t="shared" si="2"/>
        <v>-50</v>
      </c>
      <c r="L4" s="6">
        <f t="shared" si="2"/>
        <v>-75</v>
      </c>
      <c r="M4" s="6">
        <f t="shared" si="2"/>
        <v>-100</v>
      </c>
      <c r="N4" s="6">
        <f t="shared" si="2"/>
        <v>-125</v>
      </c>
    </row>
    <row r="5" spans="1:14">
      <c r="A5" t="s">
        <v>19</v>
      </c>
      <c r="B5" s="6">
        <f t="shared" ref="B5:N5" si="3">B3+B4</f>
        <v>-125</v>
      </c>
      <c r="C5" s="6">
        <f t="shared" si="3"/>
        <v>-100</v>
      </c>
      <c r="D5" s="6">
        <f t="shared" si="3"/>
        <v>-75</v>
      </c>
      <c r="E5" s="6">
        <f t="shared" si="3"/>
        <v>-50</v>
      </c>
      <c r="F5" s="6">
        <f t="shared" si="3"/>
        <v>-25</v>
      </c>
      <c r="G5" s="6">
        <f t="shared" si="3"/>
        <v>0</v>
      </c>
      <c r="H5" s="6">
        <f t="shared" si="3"/>
        <v>25</v>
      </c>
      <c r="I5" s="6">
        <f t="shared" si="3"/>
        <v>25</v>
      </c>
      <c r="J5" s="6">
        <f t="shared" si="3"/>
        <v>25</v>
      </c>
      <c r="K5" s="6">
        <f t="shared" si="3"/>
        <v>25</v>
      </c>
      <c r="L5" s="6">
        <f t="shared" si="3"/>
        <v>25</v>
      </c>
      <c r="M5" s="6">
        <f t="shared" si="3"/>
        <v>25</v>
      </c>
      <c r="N5" s="6">
        <f t="shared" si="3"/>
        <v>25</v>
      </c>
    </row>
    <row r="6" spans="1:14">
      <c r="A6" t="s">
        <v>23</v>
      </c>
      <c r="B6" s="6">
        <v>150</v>
      </c>
      <c r="C6" s="6" t="s">
        <v>2</v>
      </c>
      <c r="D6" s="6" t="s">
        <v>2</v>
      </c>
      <c r="E6" s="6" t="str">
        <f t="shared" ref="E6:N6" si="4">D6</f>
        <v xml:space="preserve"> </v>
      </c>
      <c r="F6" s="6" t="str">
        <f t="shared" si="4"/>
        <v xml:space="preserve"> </v>
      </c>
      <c r="G6" s="6" t="str">
        <f t="shared" si="4"/>
        <v xml:space="preserve"> </v>
      </c>
      <c r="H6" s="6" t="str">
        <f t="shared" si="4"/>
        <v xml:space="preserve"> </v>
      </c>
      <c r="I6" s="6" t="str">
        <f t="shared" si="4"/>
        <v xml:space="preserve"> </v>
      </c>
      <c r="J6" s="6" t="str">
        <f t="shared" si="4"/>
        <v xml:space="preserve"> </v>
      </c>
      <c r="K6" s="6" t="str">
        <f t="shared" si="4"/>
        <v xml:space="preserve"> </v>
      </c>
      <c r="L6" s="6" t="str">
        <f t="shared" si="4"/>
        <v xml:space="preserve"> </v>
      </c>
      <c r="M6" s="6" t="str">
        <f t="shared" si="4"/>
        <v xml:space="preserve"> </v>
      </c>
      <c r="N6" s="6" t="str">
        <f t="shared" si="4"/>
        <v xml:space="preserve"> </v>
      </c>
    </row>
    <row r="7" spans="1:14">
      <c r="A7" t="s">
        <v>20</v>
      </c>
      <c r="B7" s="6">
        <f>B30</f>
        <v>25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2.5">
      <c r="A8" s="10" t="s">
        <v>24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2" t="s">
        <v>27</v>
      </c>
    </row>
    <row r="10" spans="1:14">
      <c r="A10" t="s">
        <v>18</v>
      </c>
      <c r="B10" s="6" t="s">
        <v>21</v>
      </c>
    </row>
    <row r="11" spans="1:14">
      <c r="A11" t="s">
        <v>19</v>
      </c>
      <c r="B11" s="6" t="s">
        <v>22</v>
      </c>
    </row>
    <row r="30" spans="1:2">
      <c r="A30" t="s">
        <v>20</v>
      </c>
      <c r="B30" s="6">
        <v>25</v>
      </c>
    </row>
  </sheetData>
  <printOptions horizontalCentered="1" headings="1"/>
  <pageMargins left="0.7" right="0.7" top="0.75" bottom="0.75" header="0.3" footer="0.3"/>
  <pageSetup scale="8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sqref="A1:N31"/>
    </sheetView>
  </sheetViews>
  <sheetFormatPr defaultRowHeight="15"/>
  <cols>
    <col min="1" max="1" width="27.28515625" bestFit="1" customWidth="1"/>
    <col min="2" max="14" width="5.7109375" customWidth="1"/>
  </cols>
  <sheetData>
    <row r="1" spans="1:14" ht="18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t="s">
        <v>25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26</v>
      </c>
      <c r="B3" s="6">
        <f>B2-$B$6</f>
        <v>-150</v>
      </c>
      <c r="C3" s="6">
        <f t="shared" ref="C3:N3" si="1">C2-$B$6</f>
        <v>-125</v>
      </c>
      <c r="D3" s="6">
        <f t="shared" si="1"/>
        <v>-100</v>
      </c>
      <c r="E3" s="6">
        <f t="shared" si="1"/>
        <v>-75</v>
      </c>
      <c r="F3" s="6">
        <f t="shared" si="1"/>
        <v>-50</v>
      </c>
      <c r="G3" s="6">
        <f t="shared" si="1"/>
        <v>-25</v>
      </c>
      <c r="H3" s="6">
        <f t="shared" si="1"/>
        <v>0</v>
      </c>
      <c r="I3" s="6">
        <f t="shared" si="1"/>
        <v>25</v>
      </c>
      <c r="J3" s="6">
        <f t="shared" si="1"/>
        <v>50</v>
      </c>
      <c r="K3" s="6">
        <f t="shared" si="1"/>
        <v>75</v>
      </c>
      <c r="L3" s="6">
        <f t="shared" si="1"/>
        <v>100</v>
      </c>
      <c r="M3" s="6">
        <f t="shared" si="1"/>
        <v>125</v>
      </c>
      <c r="N3" s="6">
        <f t="shared" si="1"/>
        <v>150</v>
      </c>
    </row>
    <row r="4" spans="1:14">
      <c r="A4" t="s">
        <v>35</v>
      </c>
      <c r="B4" s="6">
        <f>IF(B3&gt;0,B3-$B$7,-$B$7)</f>
        <v>-25</v>
      </c>
      <c r="C4" s="6">
        <f t="shared" ref="C4:N4" si="2">IF(C3&gt;0,C3-$B$7,-$B$7)</f>
        <v>-25</v>
      </c>
      <c r="D4" s="6">
        <f t="shared" si="2"/>
        <v>-25</v>
      </c>
      <c r="E4" s="6">
        <f t="shared" si="2"/>
        <v>-25</v>
      </c>
      <c r="F4" s="6">
        <f t="shared" si="2"/>
        <v>-25</v>
      </c>
      <c r="G4" s="6">
        <f t="shared" si="2"/>
        <v>-25</v>
      </c>
      <c r="H4" s="6">
        <f t="shared" si="2"/>
        <v>-25</v>
      </c>
      <c r="I4" s="6">
        <f t="shared" si="2"/>
        <v>0</v>
      </c>
      <c r="J4" s="6">
        <f t="shared" si="2"/>
        <v>25</v>
      </c>
      <c r="K4" s="6">
        <f t="shared" si="2"/>
        <v>50</v>
      </c>
      <c r="L4" s="6">
        <f t="shared" si="2"/>
        <v>75</v>
      </c>
      <c r="M4" s="6">
        <f t="shared" si="2"/>
        <v>100</v>
      </c>
      <c r="N4" s="6">
        <f t="shared" si="2"/>
        <v>125</v>
      </c>
    </row>
    <row r="5" spans="1:14">
      <c r="A5" t="s">
        <v>19</v>
      </c>
      <c r="B5" s="6">
        <f t="shared" ref="B5:N5" si="3">B3+B4</f>
        <v>-175</v>
      </c>
      <c r="C5" s="6">
        <f t="shared" si="3"/>
        <v>-150</v>
      </c>
      <c r="D5" s="6">
        <f t="shared" si="3"/>
        <v>-125</v>
      </c>
      <c r="E5" s="6">
        <f t="shared" si="3"/>
        <v>-100</v>
      </c>
      <c r="F5" s="6">
        <f t="shared" si="3"/>
        <v>-75</v>
      </c>
      <c r="G5" s="6">
        <f t="shared" si="3"/>
        <v>-50</v>
      </c>
      <c r="H5" s="6">
        <f t="shared" si="3"/>
        <v>-25</v>
      </c>
      <c r="I5" s="6">
        <f t="shared" si="3"/>
        <v>25</v>
      </c>
      <c r="J5" s="6">
        <f t="shared" si="3"/>
        <v>75</v>
      </c>
      <c r="K5" s="6">
        <f t="shared" si="3"/>
        <v>125</v>
      </c>
      <c r="L5" s="6">
        <f t="shared" si="3"/>
        <v>175</v>
      </c>
      <c r="M5" s="6">
        <f t="shared" si="3"/>
        <v>225</v>
      </c>
      <c r="N5" s="6">
        <f t="shared" si="3"/>
        <v>275</v>
      </c>
    </row>
    <row r="6" spans="1:14">
      <c r="A6" t="s">
        <v>23</v>
      </c>
      <c r="B6" s="6">
        <v>150</v>
      </c>
      <c r="C6" s="6" t="s">
        <v>2</v>
      </c>
      <c r="D6" s="6" t="s">
        <v>2</v>
      </c>
      <c r="E6" s="6" t="str">
        <f t="shared" ref="E6:N6" si="4">D6</f>
        <v xml:space="preserve"> </v>
      </c>
      <c r="F6" s="6" t="str">
        <f t="shared" si="4"/>
        <v xml:space="preserve"> </v>
      </c>
      <c r="G6" s="6" t="str">
        <f t="shared" si="4"/>
        <v xml:space="preserve"> </v>
      </c>
      <c r="H6" s="6" t="str">
        <f t="shared" si="4"/>
        <v xml:space="preserve"> </v>
      </c>
      <c r="I6" s="6" t="str">
        <f t="shared" si="4"/>
        <v xml:space="preserve"> </v>
      </c>
      <c r="J6" s="6" t="str">
        <f t="shared" si="4"/>
        <v xml:space="preserve"> </v>
      </c>
      <c r="K6" s="6" t="str">
        <f t="shared" si="4"/>
        <v xml:space="preserve"> </v>
      </c>
      <c r="L6" s="6" t="str">
        <f t="shared" si="4"/>
        <v xml:space="preserve"> </v>
      </c>
      <c r="M6" s="6" t="str">
        <f t="shared" si="4"/>
        <v xml:space="preserve"> </v>
      </c>
      <c r="N6" s="6" t="str">
        <f t="shared" si="4"/>
        <v xml:space="preserve"> </v>
      </c>
    </row>
    <row r="7" spans="1:14">
      <c r="A7" t="s">
        <v>20</v>
      </c>
      <c r="B7" s="6">
        <f>B31</f>
        <v>25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2.5">
      <c r="A8" s="10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2" t="s">
        <v>27</v>
      </c>
    </row>
    <row r="10" spans="1:14">
      <c r="A10" t="s">
        <v>35</v>
      </c>
      <c r="B10" s="6" t="s">
        <v>36</v>
      </c>
    </row>
    <row r="11" spans="1:14">
      <c r="A11" t="s">
        <v>19</v>
      </c>
      <c r="B11" s="6" t="s">
        <v>22</v>
      </c>
    </row>
    <row r="31" spans="1:2">
      <c r="A31" t="s">
        <v>20</v>
      </c>
      <c r="B31" s="6">
        <v>25</v>
      </c>
    </row>
  </sheetData>
  <printOptions headings="1"/>
  <pageMargins left="0.7" right="0.7" top="0.75" bottom="0.75" header="0.3" footer="0.3"/>
  <pageSetup scale="85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sqref="A1:N31"/>
    </sheetView>
  </sheetViews>
  <sheetFormatPr defaultRowHeight="15"/>
  <cols>
    <col min="1" max="1" width="30.7109375" customWidth="1"/>
    <col min="2" max="14" width="5.7109375" customWidth="1"/>
  </cols>
  <sheetData>
    <row r="1" spans="1:14" ht="18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t="s">
        <v>25</v>
      </c>
      <c r="B2">
        <v>0</v>
      </c>
      <c r="C2">
        <f>B2+25</f>
        <v>25</v>
      </c>
      <c r="D2">
        <f t="shared" ref="D2:N3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26</v>
      </c>
      <c r="B3">
        <f>0-$B$6</f>
        <v>-150</v>
      </c>
      <c r="C3">
        <f>B3+25</f>
        <v>-125</v>
      </c>
      <c r="D3">
        <f t="shared" si="0"/>
        <v>-100</v>
      </c>
      <c r="E3">
        <f t="shared" si="0"/>
        <v>-75</v>
      </c>
      <c r="F3">
        <f t="shared" si="0"/>
        <v>-50</v>
      </c>
      <c r="G3">
        <f t="shared" si="0"/>
        <v>-25</v>
      </c>
      <c r="H3">
        <f t="shared" si="0"/>
        <v>0</v>
      </c>
      <c r="I3">
        <f t="shared" si="0"/>
        <v>25</v>
      </c>
      <c r="J3">
        <f t="shared" si="0"/>
        <v>50</v>
      </c>
      <c r="K3">
        <f t="shared" si="0"/>
        <v>75</v>
      </c>
      <c r="L3">
        <f t="shared" si="0"/>
        <v>100</v>
      </c>
      <c r="M3">
        <f t="shared" si="0"/>
        <v>125</v>
      </c>
      <c r="N3">
        <f t="shared" si="0"/>
        <v>150</v>
      </c>
    </row>
    <row r="4" spans="1:14">
      <c r="A4" t="s">
        <v>37</v>
      </c>
      <c r="B4">
        <f>IF(B3&lt;0,B3+$B$7,$B$7)</f>
        <v>-125</v>
      </c>
      <c r="C4">
        <f t="shared" ref="C4:N4" si="1">IF(C3&lt;0,C3+$B$7,$B$7)</f>
        <v>-100</v>
      </c>
      <c r="D4">
        <f t="shared" si="1"/>
        <v>-75</v>
      </c>
      <c r="E4">
        <f t="shared" si="1"/>
        <v>-50</v>
      </c>
      <c r="F4">
        <f t="shared" si="1"/>
        <v>-25</v>
      </c>
      <c r="G4">
        <f t="shared" si="1"/>
        <v>0</v>
      </c>
      <c r="H4">
        <f t="shared" si="1"/>
        <v>25</v>
      </c>
      <c r="I4">
        <f t="shared" si="1"/>
        <v>25</v>
      </c>
      <c r="J4">
        <f t="shared" si="1"/>
        <v>25</v>
      </c>
      <c r="K4">
        <f t="shared" si="1"/>
        <v>25</v>
      </c>
      <c r="L4">
        <f t="shared" si="1"/>
        <v>25</v>
      </c>
      <c r="M4">
        <f t="shared" si="1"/>
        <v>25</v>
      </c>
      <c r="N4">
        <f t="shared" si="1"/>
        <v>25</v>
      </c>
    </row>
    <row r="5" spans="1:14">
      <c r="A5" t="s">
        <v>19</v>
      </c>
      <c r="B5">
        <f>B4+B3</f>
        <v>-275</v>
      </c>
      <c r="C5">
        <f t="shared" ref="C5:N5" si="2">C4+C3</f>
        <v>-225</v>
      </c>
      <c r="D5">
        <f t="shared" si="2"/>
        <v>-175</v>
      </c>
      <c r="E5">
        <f t="shared" si="2"/>
        <v>-125</v>
      </c>
      <c r="F5">
        <f t="shared" si="2"/>
        <v>-75</v>
      </c>
      <c r="G5">
        <f t="shared" si="2"/>
        <v>-25</v>
      </c>
      <c r="H5">
        <f t="shared" si="2"/>
        <v>25</v>
      </c>
      <c r="I5">
        <f t="shared" si="2"/>
        <v>50</v>
      </c>
      <c r="J5">
        <f t="shared" si="2"/>
        <v>75</v>
      </c>
      <c r="K5">
        <f t="shared" si="2"/>
        <v>100</v>
      </c>
      <c r="L5">
        <f t="shared" si="2"/>
        <v>125</v>
      </c>
      <c r="M5">
        <f t="shared" si="2"/>
        <v>150</v>
      </c>
      <c r="N5">
        <f t="shared" si="2"/>
        <v>175</v>
      </c>
    </row>
    <row r="6" spans="1:14">
      <c r="A6" t="s">
        <v>23</v>
      </c>
      <c r="B6">
        <v>150</v>
      </c>
      <c r="C6" t="s">
        <v>2</v>
      </c>
      <c r="D6" t="s">
        <v>2</v>
      </c>
      <c r="E6" t="str">
        <f t="shared" ref="E6:N6" si="3">D6</f>
        <v xml:space="preserve"> </v>
      </c>
      <c r="F6" t="str">
        <f t="shared" si="3"/>
        <v xml:space="preserve"> </v>
      </c>
      <c r="G6" t="str">
        <f t="shared" si="3"/>
        <v xml:space="preserve"> </v>
      </c>
      <c r="H6" t="str">
        <f t="shared" si="3"/>
        <v xml:space="preserve"> </v>
      </c>
      <c r="I6" t="str">
        <f t="shared" si="3"/>
        <v xml:space="preserve"> </v>
      </c>
      <c r="J6" t="str">
        <f t="shared" si="3"/>
        <v xml:space="preserve"> </v>
      </c>
      <c r="K6" t="str">
        <f t="shared" si="3"/>
        <v xml:space="preserve"> </v>
      </c>
      <c r="L6" t="str">
        <f t="shared" si="3"/>
        <v xml:space="preserve"> </v>
      </c>
      <c r="M6" t="str">
        <f t="shared" si="3"/>
        <v xml:space="preserve"> </v>
      </c>
      <c r="N6" t="str">
        <f t="shared" si="3"/>
        <v xml:space="preserve"> </v>
      </c>
    </row>
    <row r="7" spans="1:14">
      <c r="A7" t="s">
        <v>20</v>
      </c>
      <c r="B7">
        <f>B31</f>
        <v>25</v>
      </c>
    </row>
    <row r="8" spans="1:14">
      <c r="A8" s="13" t="s">
        <v>41</v>
      </c>
    </row>
    <row r="9" spans="1:14">
      <c r="A9" s="13" t="s">
        <v>39</v>
      </c>
    </row>
    <row r="10" spans="1:14">
      <c r="A10" s="12" t="s">
        <v>40</v>
      </c>
    </row>
    <row r="11" spans="1:14">
      <c r="A11" t="str">
        <f>A4</f>
        <v>WRITE REAL PUT INTRINSIC</v>
      </c>
      <c r="B11" t="s">
        <v>38</v>
      </c>
    </row>
    <row r="12" spans="1:14">
      <c r="A12" t="s">
        <v>19</v>
      </c>
      <c r="B12" t="s">
        <v>30</v>
      </c>
    </row>
    <row r="31" spans="1:2">
      <c r="A31" t="s">
        <v>20</v>
      </c>
      <c r="B31">
        <v>25</v>
      </c>
    </row>
  </sheetData>
  <printOptions horizontalCentered="1" headings="1"/>
  <pageMargins left="0.7" right="0.7" top="0.75" bottom="0.75" header="0.3" footer="0.3"/>
  <pageSetup scale="80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N30"/>
    </sheetView>
  </sheetViews>
  <sheetFormatPr defaultRowHeight="15"/>
  <cols>
    <col min="1" max="1" width="27.28515625" bestFit="1" customWidth="1"/>
    <col min="2" max="14" width="5.7109375" customWidth="1"/>
  </cols>
  <sheetData>
    <row r="1" spans="1:15" ht="18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t="s">
        <v>2</v>
      </c>
    </row>
    <row r="2" spans="1:15">
      <c r="A2" t="s">
        <v>25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5">
      <c r="A3" t="s">
        <v>26</v>
      </c>
      <c r="B3">
        <f>0-$B$6</f>
        <v>-150</v>
      </c>
      <c r="C3">
        <f>B3+25</f>
        <v>-125</v>
      </c>
      <c r="D3">
        <f t="shared" ref="D3:N3" si="1">C3+25</f>
        <v>-100</v>
      </c>
      <c r="E3">
        <f t="shared" si="1"/>
        <v>-75</v>
      </c>
      <c r="F3">
        <f t="shared" si="1"/>
        <v>-50</v>
      </c>
      <c r="G3">
        <f t="shared" si="1"/>
        <v>-25</v>
      </c>
      <c r="H3">
        <f t="shared" si="1"/>
        <v>0</v>
      </c>
      <c r="I3">
        <f t="shared" si="1"/>
        <v>25</v>
      </c>
      <c r="J3">
        <f t="shared" si="1"/>
        <v>50</v>
      </c>
      <c r="K3">
        <f t="shared" si="1"/>
        <v>75</v>
      </c>
      <c r="L3">
        <f t="shared" si="1"/>
        <v>100</v>
      </c>
      <c r="M3">
        <f t="shared" si="1"/>
        <v>125</v>
      </c>
      <c r="N3">
        <f t="shared" si="1"/>
        <v>150</v>
      </c>
    </row>
    <row r="4" spans="1:15">
      <c r="A4" t="s">
        <v>28</v>
      </c>
      <c r="B4">
        <f t="shared" ref="B4:N4" si="2">IF(B3&lt;0,-B3-$B$7,-$B$7)</f>
        <v>125</v>
      </c>
      <c r="C4">
        <f t="shared" si="2"/>
        <v>100</v>
      </c>
      <c r="D4">
        <f t="shared" si="2"/>
        <v>75</v>
      </c>
      <c r="E4">
        <f t="shared" si="2"/>
        <v>50</v>
      </c>
      <c r="F4">
        <f t="shared" si="2"/>
        <v>25</v>
      </c>
      <c r="G4">
        <f t="shared" si="2"/>
        <v>0</v>
      </c>
      <c r="H4">
        <f t="shared" si="2"/>
        <v>-25</v>
      </c>
      <c r="I4">
        <f t="shared" si="2"/>
        <v>-25</v>
      </c>
      <c r="J4">
        <f t="shared" si="2"/>
        <v>-25</v>
      </c>
      <c r="K4">
        <f t="shared" si="2"/>
        <v>-25</v>
      </c>
      <c r="L4">
        <f t="shared" si="2"/>
        <v>-25</v>
      </c>
      <c r="M4">
        <f t="shared" si="2"/>
        <v>-25</v>
      </c>
      <c r="N4">
        <f t="shared" si="2"/>
        <v>-25</v>
      </c>
    </row>
    <row r="5" spans="1:15">
      <c r="A5" t="s">
        <v>19</v>
      </c>
      <c r="B5">
        <f>B4+B3</f>
        <v>-25</v>
      </c>
      <c r="C5">
        <f t="shared" ref="C5:N5" si="3">C4+C3</f>
        <v>-25</v>
      </c>
      <c r="D5">
        <f t="shared" si="3"/>
        <v>-25</v>
      </c>
      <c r="E5">
        <f t="shared" si="3"/>
        <v>-25</v>
      </c>
      <c r="F5">
        <f t="shared" si="3"/>
        <v>-25</v>
      </c>
      <c r="G5">
        <f t="shared" si="3"/>
        <v>-25</v>
      </c>
      <c r="H5">
        <f t="shared" si="3"/>
        <v>-25</v>
      </c>
      <c r="I5">
        <f t="shared" si="3"/>
        <v>0</v>
      </c>
      <c r="J5">
        <f t="shared" si="3"/>
        <v>25</v>
      </c>
      <c r="K5">
        <f t="shared" si="3"/>
        <v>50</v>
      </c>
      <c r="L5">
        <f t="shared" si="3"/>
        <v>75</v>
      </c>
      <c r="M5">
        <f t="shared" si="3"/>
        <v>100</v>
      </c>
      <c r="N5">
        <f t="shared" si="3"/>
        <v>125</v>
      </c>
    </row>
    <row r="6" spans="1:15">
      <c r="A6" t="s">
        <v>23</v>
      </c>
      <c r="B6">
        <v>150</v>
      </c>
      <c r="C6" t="s">
        <v>2</v>
      </c>
      <c r="D6" t="s">
        <v>2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5">
      <c r="A7" t="s">
        <v>20</v>
      </c>
      <c r="B7">
        <f>B30</f>
        <v>25</v>
      </c>
    </row>
    <row r="8" spans="1:15">
      <c r="A8" s="13" t="s">
        <v>31</v>
      </c>
    </row>
    <row r="9" spans="1:15">
      <c r="A9" s="13" t="s">
        <v>32</v>
      </c>
    </row>
    <row r="10" spans="1:15">
      <c r="A10" s="12" t="s">
        <v>33</v>
      </c>
    </row>
    <row r="11" spans="1:15">
      <c r="A11" t="str">
        <f>A3</f>
        <v>SERVICE VALUE-COST</v>
      </c>
      <c r="B11" t="s">
        <v>29</v>
      </c>
    </row>
    <row r="12" spans="1:15">
      <c r="A12" t="str">
        <f>A4</f>
        <v>BUY REAL PUT INTRINSIC</v>
      </c>
      <c r="B12" t="s">
        <v>30</v>
      </c>
    </row>
    <row r="30" spans="1:2">
      <c r="A30" t="s">
        <v>20</v>
      </c>
      <c r="B30">
        <v>25</v>
      </c>
    </row>
  </sheetData>
  <printOptions horizontalCentered="1" headings="1"/>
  <pageMargins left="0.7" right="0.7" top="0.75" bottom="0.75" header="0.3" footer="0.3"/>
  <pageSetup scale="80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E56"/>
  <sheetViews>
    <sheetView topLeftCell="A48" workbookViewId="0">
      <selection activeCell="A56" sqref="A1:H56"/>
    </sheetView>
  </sheetViews>
  <sheetFormatPr defaultRowHeight="15"/>
  <cols>
    <col min="1" max="1" width="26.7109375" bestFit="1" customWidth="1"/>
    <col min="3" max="3" width="12.42578125" bestFit="1" customWidth="1"/>
  </cols>
  <sheetData>
    <row r="1" spans="1:5" ht="15.75">
      <c r="A1" s="16" t="s">
        <v>108</v>
      </c>
      <c r="B1" s="17"/>
      <c r="C1" s="18"/>
      <c r="D1" s="17"/>
      <c r="E1" s="17"/>
    </row>
    <row r="2" spans="1:5" ht="3.95" customHeight="1">
      <c r="A2" s="17" t="s">
        <v>2</v>
      </c>
      <c r="B2" s="17" t="s">
        <v>2</v>
      </c>
      <c r="C2" s="19" t="s">
        <v>2</v>
      </c>
      <c r="D2" s="17"/>
      <c r="E2" s="17"/>
    </row>
    <row r="3" spans="1:5">
      <c r="A3" s="17" t="s">
        <v>140</v>
      </c>
      <c r="B3" s="17" t="s">
        <v>48</v>
      </c>
      <c r="C3" s="60">
        <v>70</v>
      </c>
      <c r="D3" s="21" t="s">
        <v>2</v>
      </c>
      <c r="E3" s="17"/>
    </row>
    <row r="4" spans="1:5">
      <c r="A4" s="17" t="s">
        <v>141</v>
      </c>
      <c r="B4" s="17" t="s">
        <v>49</v>
      </c>
      <c r="C4" s="17">
        <v>100</v>
      </c>
      <c r="D4" s="21" t="s">
        <v>2</v>
      </c>
      <c r="E4" s="17"/>
    </row>
    <row r="5" spans="1:5">
      <c r="A5" s="17" t="s">
        <v>50</v>
      </c>
      <c r="B5" s="22" t="s">
        <v>51</v>
      </c>
      <c r="C5" s="22">
        <v>0.04</v>
      </c>
      <c r="D5" s="21"/>
      <c r="E5" s="17"/>
    </row>
    <row r="6" spans="1:5">
      <c r="A6" s="17" t="s">
        <v>52</v>
      </c>
      <c r="B6" s="22" t="s">
        <v>53</v>
      </c>
      <c r="C6" s="22">
        <v>0.04</v>
      </c>
      <c r="D6" s="23"/>
      <c r="E6" s="17"/>
    </row>
    <row r="7" spans="1:5">
      <c r="A7" s="17" t="s">
        <v>54</v>
      </c>
      <c r="B7" s="22" t="s">
        <v>55</v>
      </c>
      <c r="C7" s="24">
        <v>0.2</v>
      </c>
      <c r="D7" s="23"/>
      <c r="E7" s="17"/>
    </row>
    <row r="8" spans="1:5">
      <c r="A8" s="17" t="s">
        <v>56</v>
      </c>
      <c r="B8" s="22" t="s">
        <v>57</v>
      </c>
      <c r="C8" s="24">
        <v>0.4</v>
      </c>
      <c r="D8" s="23"/>
      <c r="E8" s="17"/>
    </row>
    <row r="9" spans="1:5">
      <c r="A9" s="17" t="s">
        <v>58</v>
      </c>
      <c r="B9" s="22" t="s">
        <v>59</v>
      </c>
      <c r="C9" s="24">
        <v>0</v>
      </c>
      <c r="D9" s="23"/>
      <c r="E9" s="17"/>
    </row>
    <row r="10" spans="1:5">
      <c r="A10" s="17" t="s">
        <v>60</v>
      </c>
      <c r="B10" s="22" t="s">
        <v>61</v>
      </c>
      <c r="C10" s="22">
        <v>0.05</v>
      </c>
      <c r="D10" s="23"/>
      <c r="E10" s="17"/>
    </row>
    <row r="11" spans="1:5">
      <c r="A11" s="17" t="s">
        <v>62</v>
      </c>
      <c r="B11" s="22" t="s">
        <v>63</v>
      </c>
      <c r="C11" s="25">
        <v>50</v>
      </c>
      <c r="D11" s="23"/>
      <c r="E11" s="17"/>
    </row>
    <row r="12" spans="1:5">
      <c r="A12" s="17" t="s">
        <v>64</v>
      </c>
      <c r="B12" s="22" t="s">
        <v>65</v>
      </c>
      <c r="C12" s="25">
        <v>50</v>
      </c>
      <c r="D12" s="23"/>
      <c r="E12" s="17"/>
    </row>
    <row r="13" spans="1:5" ht="3.95" customHeight="1">
      <c r="A13" s="17" t="s">
        <v>2</v>
      </c>
      <c r="B13" s="22" t="s">
        <v>2</v>
      </c>
      <c r="C13" s="23" t="s">
        <v>2</v>
      </c>
      <c r="D13" s="23"/>
      <c r="E13" s="17"/>
    </row>
    <row r="14" spans="1:5" ht="3.95" customHeight="1">
      <c r="A14" s="17" t="s">
        <v>2</v>
      </c>
      <c r="B14" s="22" t="s">
        <v>2</v>
      </c>
      <c r="C14" s="23" t="s">
        <v>2</v>
      </c>
      <c r="D14" s="23"/>
      <c r="E14" s="17"/>
    </row>
    <row r="15" spans="1:5">
      <c r="A15" s="17" t="s">
        <v>66</v>
      </c>
      <c r="B15" s="22" t="s">
        <v>67</v>
      </c>
      <c r="C15" s="23">
        <v>300</v>
      </c>
      <c r="D15" s="23"/>
      <c r="E15" s="17"/>
    </row>
    <row r="16" spans="1:5">
      <c r="A16" s="17" t="s">
        <v>68</v>
      </c>
      <c r="B16" s="22" t="s">
        <v>69</v>
      </c>
      <c r="C16" s="23">
        <v>100</v>
      </c>
      <c r="D16" s="23"/>
      <c r="E16" s="17"/>
    </row>
    <row r="17" spans="1:5">
      <c r="A17" s="17" t="s">
        <v>70</v>
      </c>
      <c r="B17" s="17" t="s">
        <v>71</v>
      </c>
      <c r="C17" s="26">
        <f>(C3/C5-C11/C10)</f>
        <v>750</v>
      </c>
      <c r="D17" s="23" t="s">
        <v>2</v>
      </c>
      <c r="E17" s="17"/>
    </row>
    <row r="18" spans="1:5">
      <c r="A18" s="17" t="s">
        <v>72</v>
      </c>
      <c r="B18" s="17" t="s">
        <v>73</v>
      </c>
      <c r="C18" s="26">
        <f>(C4/C6-C12/C10)</f>
        <v>1500</v>
      </c>
      <c r="D18" s="23" t="s">
        <v>2</v>
      </c>
      <c r="E18" s="17"/>
    </row>
    <row r="19" spans="1:5">
      <c r="A19" s="17" t="s">
        <v>74</v>
      </c>
      <c r="B19" s="22" t="s">
        <v>75</v>
      </c>
      <c r="C19" s="27">
        <f>C3</f>
        <v>70</v>
      </c>
      <c r="D19" s="23"/>
      <c r="E19" s="17"/>
    </row>
    <row r="20" spans="1:5">
      <c r="A20" s="17" t="s">
        <v>109</v>
      </c>
      <c r="B20" s="22" t="s">
        <v>110</v>
      </c>
      <c r="C20" s="27">
        <f>C3</f>
        <v>70</v>
      </c>
      <c r="D20" s="23"/>
      <c r="E20" s="17"/>
    </row>
    <row r="21" spans="1:5">
      <c r="A21" s="17"/>
      <c r="B21" s="17" t="s">
        <v>76</v>
      </c>
      <c r="C21" s="17"/>
      <c r="D21" s="17" t="s">
        <v>142</v>
      </c>
      <c r="E21" s="17" t="s">
        <v>143</v>
      </c>
    </row>
    <row r="22" spans="1:5">
      <c r="A22" s="17" t="s">
        <v>78</v>
      </c>
      <c r="B22" s="28" t="s">
        <v>79</v>
      </c>
      <c r="C22" s="29">
        <f>C3/C5-C11/C10+C24*C3^C28*C4^C29</f>
        <v>2216.0050531288693</v>
      </c>
      <c r="D22" s="29">
        <f>C24*C3^C28*C4^C29</f>
        <v>1466.0050531288693</v>
      </c>
      <c r="E22" s="29">
        <f>C3/C5-C11/C10</f>
        <v>750</v>
      </c>
    </row>
    <row r="23" spans="1:5">
      <c r="A23" s="17" t="s">
        <v>80</v>
      </c>
      <c r="B23" s="28" t="s">
        <v>81</v>
      </c>
      <c r="C23" s="29">
        <f>C4/C6-C12/C10+C25*C3^C30*C4^C31</f>
        <v>2359.2231501205983</v>
      </c>
      <c r="D23" s="29">
        <f>C25*C3^C30*C4^C31</f>
        <v>859.22315012059835</v>
      </c>
      <c r="E23" s="29">
        <f>C4/C6-C12/C10</f>
        <v>1500</v>
      </c>
    </row>
    <row r="24" spans="1:5">
      <c r="A24" s="17"/>
      <c r="B24" s="28" t="s">
        <v>82</v>
      </c>
      <c r="C24" s="30">
        <v>8.3663594819726423</v>
      </c>
      <c r="D24" s="31"/>
      <c r="E24" s="17"/>
    </row>
    <row r="25" spans="1:5">
      <c r="A25" s="17"/>
      <c r="B25" s="28" t="s">
        <v>111</v>
      </c>
      <c r="C25" s="30">
        <v>8.6650752663098878</v>
      </c>
      <c r="D25" s="31"/>
      <c r="E25" s="17"/>
    </row>
    <row r="26" spans="1:5">
      <c r="A26" s="17" t="s">
        <v>74</v>
      </c>
      <c r="B26" s="32" t="s">
        <v>83</v>
      </c>
      <c r="C26" s="33">
        <v>196.09531158155613</v>
      </c>
      <c r="D26" s="21"/>
      <c r="E26" s="17"/>
    </row>
    <row r="27" spans="1:5">
      <c r="A27" s="17" t="s">
        <v>109</v>
      </c>
      <c r="B27" s="32" t="s">
        <v>112</v>
      </c>
      <c r="C27" s="33">
        <v>28.007648490640257</v>
      </c>
      <c r="D27" s="21"/>
      <c r="E27" s="17"/>
    </row>
    <row r="28" spans="1:5">
      <c r="A28" s="17" t="s">
        <v>84</v>
      </c>
      <c r="B28" s="32" t="s">
        <v>85</v>
      </c>
      <c r="C28" s="34">
        <v>-0.21441323571257029</v>
      </c>
      <c r="D28" s="35" t="s">
        <v>86</v>
      </c>
      <c r="E28" s="17"/>
    </row>
    <row r="29" spans="1:5">
      <c r="A29" s="17" t="s">
        <v>84</v>
      </c>
      <c r="B29" s="32" t="s">
        <v>87</v>
      </c>
      <c r="C29" s="34">
        <v>1.3196061935075694</v>
      </c>
      <c r="D29" s="35" t="s">
        <v>88</v>
      </c>
      <c r="E29" s="17"/>
    </row>
    <row r="30" spans="1:5">
      <c r="A30" s="17" t="s">
        <v>84</v>
      </c>
      <c r="B30" s="32" t="s">
        <v>113</v>
      </c>
      <c r="C30" s="34">
        <v>1.3827728013830229</v>
      </c>
      <c r="D30" s="35" t="s">
        <v>88</v>
      </c>
      <c r="E30" s="17"/>
    </row>
    <row r="31" spans="1:5">
      <c r="A31" s="17" t="s">
        <v>84</v>
      </c>
      <c r="B31" s="32" t="s">
        <v>114</v>
      </c>
      <c r="C31" s="34">
        <v>-0.27750887764657362</v>
      </c>
      <c r="D31" s="35" t="s">
        <v>86</v>
      </c>
      <c r="E31" s="17"/>
    </row>
    <row r="32" spans="1:5">
      <c r="A32" s="17"/>
      <c r="B32" s="17" t="s">
        <v>89</v>
      </c>
      <c r="C32" s="36"/>
      <c r="D32" s="26"/>
      <c r="E32" s="17"/>
    </row>
    <row r="33" spans="1:5">
      <c r="A33" s="17" t="s">
        <v>90</v>
      </c>
      <c r="B33" s="28" t="s">
        <v>115</v>
      </c>
      <c r="C33" s="37">
        <f>(C24*C19^C28*C26^C29+C19/C5-C11/C10-C25*C19^C30*C26^C31-C26/C6+C12/C10+C15)</f>
        <v>2.748934093688149E-7</v>
      </c>
      <c r="D33" s="26"/>
      <c r="E33" s="17"/>
    </row>
    <row r="34" spans="1:5">
      <c r="A34" s="17" t="s">
        <v>116</v>
      </c>
      <c r="B34" s="28" t="s">
        <v>117</v>
      </c>
      <c r="C34" s="37">
        <f>(C24*C20^C28*C27^C29+C20/C5-C11/C10-C25*C20^C30*C27^C31-C27/C6+C12/C10-C16)</f>
        <v>1.06503421193338E-7</v>
      </c>
      <c r="D34" s="26"/>
      <c r="E34" s="17"/>
    </row>
    <row r="35" spans="1:5">
      <c r="A35" s="17" t="s">
        <v>91</v>
      </c>
      <c r="B35" s="28" t="s">
        <v>118</v>
      </c>
      <c r="C35" s="37">
        <f>(C28*C24*C19^(C28-1)*C26^C29+1/C5-C30*C25*C19^(C30-1)*C26^C31)</f>
        <v>-6.1904525949785238E-9</v>
      </c>
      <c r="D35" s="26"/>
      <c r="E35" s="17"/>
    </row>
    <row r="36" spans="1:5">
      <c r="A36" s="17" t="s">
        <v>92</v>
      </c>
      <c r="B36" s="28" t="s">
        <v>119</v>
      </c>
      <c r="C36" s="37">
        <f>(C29*C24*C19^C28*C26^(C29-1)-C31*C25*C19^C30*C26^(C31-1)-1/C6)</f>
        <v>7.1439352211655205E-9</v>
      </c>
      <c r="D36" s="26"/>
      <c r="E36" s="17"/>
    </row>
    <row r="37" spans="1:5">
      <c r="A37" s="17" t="s">
        <v>120</v>
      </c>
      <c r="B37" s="28" t="s">
        <v>121</v>
      </c>
      <c r="C37" s="37">
        <f>(C28*C24*C20^(C28-1)*C27^C29+1/C5-C30*C25*C20^(C30-1)*C27^C31)</f>
        <v>1.9805810325124185E-9</v>
      </c>
      <c r="D37" s="26"/>
      <c r="E37" s="17"/>
    </row>
    <row r="38" spans="1:5">
      <c r="A38" s="17" t="s">
        <v>122</v>
      </c>
      <c r="B38" s="28" t="s">
        <v>123</v>
      </c>
      <c r="C38" s="37">
        <f>(C29*C24*C20^C28*C27^(C29-1)-C31*C25*C20^C30*C27^(C31-1)-1/C6)</f>
        <v>-3.9128735807025805E-9</v>
      </c>
      <c r="D38" s="26"/>
      <c r="E38" s="17"/>
    </row>
    <row r="39" spans="1:5">
      <c r="A39" s="17" t="s">
        <v>93</v>
      </c>
      <c r="B39" s="28" t="s">
        <v>124</v>
      </c>
      <c r="C39" s="37">
        <f>0.5*C7^2*C28*(C28-1)+0.5*C8^2*C29*(C29-1)+C9*C7*C8*C28*C29+C28*(C10-C5)+C29*(C10-C6)-C10</f>
        <v>5.3471116423509102E-14</v>
      </c>
      <c r="D39" s="26"/>
      <c r="E39" s="17"/>
    </row>
    <row r="40" spans="1:5">
      <c r="A40" s="17" t="s">
        <v>125</v>
      </c>
      <c r="B40" s="28" t="s">
        <v>126</v>
      </c>
      <c r="C40" s="37">
        <f>0.5*C7^2*C30*(C30-1)+0.5*C8^2*C31*(C31-1)+C9*C7*C8*C30*C31+C30*(C10-C5)+C31*(C10-C6)-C10</f>
        <v>1.3587048153240744E-13</v>
      </c>
      <c r="D40" s="26"/>
      <c r="E40" s="17"/>
    </row>
    <row r="41" spans="1:5">
      <c r="A41" s="17"/>
      <c r="B41" s="17" t="s">
        <v>94</v>
      </c>
      <c r="C41" s="38">
        <f>SUM(ABS(C33)+ABS(C34)+ABS(C35)+ABS(C36)+ABS(C37)+ABS(C38)+ABS(C39)+ABS(C40))</f>
        <v>4.006248623331099E-7</v>
      </c>
      <c r="D41" s="39" t="s">
        <v>2</v>
      </c>
      <c r="E41" s="17"/>
    </row>
    <row r="42" spans="1:5">
      <c r="B42" s="28" t="s">
        <v>139</v>
      </c>
    </row>
    <row r="43" spans="1:5">
      <c r="A43" s="28" t="s">
        <v>212</v>
      </c>
      <c r="B43" s="28" t="s">
        <v>146</v>
      </c>
      <c r="C43" s="55">
        <f>C6*(C15+C3/C5)</f>
        <v>82</v>
      </c>
      <c r="D43" s="51" t="s">
        <v>147</v>
      </c>
    </row>
    <row r="44" spans="1:5">
      <c r="A44" s="28" t="s">
        <v>212</v>
      </c>
      <c r="B44" s="28" t="s">
        <v>149</v>
      </c>
      <c r="C44" s="55">
        <f>C6*(-C16+C3/C5)</f>
        <v>66</v>
      </c>
      <c r="D44" s="51" t="s">
        <v>148</v>
      </c>
    </row>
    <row r="45" spans="1:5">
      <c r="B45" s="28" t="s">
        <v>144</v>
      </c>
      <c r="C45" s="55">
        <f>C43-C44</f>
        <v>16</v>
      </c>
      <c r="D45" s="51" t="s">
        <v>150</v>
      </c>
    </row>
    <row r="46" spans="1:5">
      <c r="A46" s="28" t="s">
        <v>115</v>
      </c>
      <c r="B46" s="52" t="s">
        <v>129</v>
      </c>
    </row>
    <row r="47" spans="1:5">
      <c r="A47" s="28" t="s">
        <v>117</v>
      </c>
      <c r="B47" s="52" t="s">
        <v>130</v>
      </c>
    </row>
    <row r="48" spans="1:5">
      <c r="A48" s="28" t="s">
        <v>118</v>
      </c>
      <c r="B48" s="37" t="s">
        <v>131</v>
      </c>
    </row>
    <row r="49" spans="1:4">
      <c r="A49" s="28" t="s">
        <v>119</v>
      </c>
      <c r="B49" s="37" t="s">
        <v>132</v>
      </c>
    </row>
    <row r="50" spans="1:4">
      <c r="A50" s="28" t="s">
        <v>121</v>
      </c>
      <c r="B50" s="37" t="s">
        <v>133</v>
      </c>
    </row>
    <row r="51" spans="1:4">
      <c r="A51" s="28" t="s">
        <v>123</v>
      </c>
      <c r="B51" s="37" t="s">
        <v>134</v>
      </c>
    </row>
    <row r="52" spans="1:4">
      <c r="A52" s="28" t="s">
        <v>124</v>
      </c>
      <c r="B52" s="53" t="s">
        <v>135</v>
      </c>
    </row>
    <row r="53" spans="1:4">
      <c r="A53" s="28" t="s">
        <v>126</v>
      </c>
      <c r="B53" s="53" t="s">
        <v>136</v>
      </c>
    </row>
    <row r="54" spans="1:4">
      <c r="A54" s="28" t="s">
        <v>100</v>
      </c>
      <c r="C54" s="1">
        <f>C26-C27</f>
        <v>168.08766309091587</v>
      </c>
      <c r="D54" s="1" t="s">
        <v>145</v>
      </c>
    </row>
    <row r="55" spans="1:4">
      <c r="A55" s="28" t="s">
        <v>101</v>
      </c>
      <c r="B55" s="26" t="s">
        <v>137</v>
      </c>
    </row>
    <row r="56" spans="1:4">
      <c r="A56" s="28" t="s">
        <v>103</v>
      </c>
      <c r="B56" s="26" t="s">
        <v>138</v>
      </c>
    </row>
  </sheetData>
  <printOptions horizontalCentered="1" headings="1"/>
  <pageMargins left="0.7" right="0.7" top="0.75" bottom="0.75" header="0.3" footer="0.3"/>
  <pageSetup scale="7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3"/>
  <sheetViews>
    <sheetView topLeftCell="A40" zoomScale="85" zoomScaleNormal="85" workbookViewId="0">
      <selection activeCell="G40" sqref="G40"/>
    </sheetView>
  </sheetViews>
  <sheetFormatPr defaultRowHeight="15"/>
  <cols>
    <col min="1" max="1" width="26.7109375" bestFit="1" customWidth="1"/>
    <col min="3" max="3" width="12.42578125" bestFit="1" customWidth="1"/>
  </cols>
  <sheetData>
    <row r="1" spans="1:7" ht="15.75">
      <c r="A1" s="16" t="s">
        <v>108</v>
      </c>
      <c r="B1" s="17"/>
      <c r="C1" s="18"/>
    </row>
    <row r="2" spans="1:7">
      <c r="A2" s="17" t="s">
        <v>2</v>
      </c>
      <c r="B2" s="17" t="s">
        <v>2</v>
      </c>
      <c r="C2" s="19" t="s">
        <v>2</v>
      </c>
    </row>
    <row r="3" spans="1:7">
      <c r="A3" s="17" t="s">
        <v>140</v>
      </c>
      <c r="B3" s="17" t="s">
        <v>48</v>
      </c>
      <c r="C3" s="20">
        <v>70</v>
      </c>
      <c r="D3" s="20">
        <v>70</v>
      </c>
      <c r="E3" s="20">
        <v>70</v>
      </c>
      <c r="F3" s="20">
        <v>70</v>
      </c>
      <c r="G3" s="20">
        <v>70</v>
      </c>
    </row>
    <row r="4" spans="1:7">
      <c r="A4" s="17" t="s">
        <v>141</v>
      </c>
      <c r="B4" s="17" t="s">
        <v>49</v>
      </c>
      <c r="C4" s="17">
        <v>100</v>
      </c>
      <c r="D4" s="17">
        <v>100</v>
      </c>
      <c r="E4" s="17">
        <v>100</v>
      </c>
      <c r="F4" s="17">
        <v>100</v>
      </c>
      <c r="G4" s="17">
        <v>100</v>
      </c>
    </row>
    <row r="5" spans="1:7">
      <c r="A5" s="17" t="s">
        <v>50</v>
      </c>
      <c r="B5" s="22" t="s">
        <v>51</v>
      </c>
      <c r="C5" s="22">
        <v>0.04</v>
      </c>
      <c r="D5" s="22">
        <v>0.04</v>
      </c>
      <c r="E5" s="22">
        <v>0.04</v>
      </c>
      <c r="F5" s="22">
        <v>0.04</v>
      </c>
      <c r="G5" s="22">
        <v>0.04</v>
      </c>
    </row>
    <row r="6" spans="1:7">
      <c r="A6" s="17" t="s">
        <v>52</v>
      </c>
      <c r="B6" s="22" t="s">
        <v>53</v>
      </c>
      <c r="C6" s="22">
        <v>0.04</v>
      </c>
      <c r="D6" s="22">
        <v>0.04</v>
      </c>
      <c r="E6" s="22">
        <v>0.04</v>
      </c>
      <c r="F6" s="22">
        <v>0.04</v>
      </c>
      <c r="G6" s="22">
        <v>0.04</v>
      </c>
    </row>
    <row r="7" spans="1:7">
      <c r="A7" s="17" t="s">
        <v>54</v>
      </c>
      <c r="B7" s="22" t="s">
        <v>55</v>
      </c>
      <c r="C7" s="24">
        <v>0.2</v>
      </c>
      <c r="D7" s="24">
        <f>C7</f>
        <v>0.2</v>
      </c>
      <c r="E7" s="24">
        <f t="shared" ref="E7:G7" si="0">D7</f>
        <v>0.2</v>
      </c>
      <c r="F7" s="24">
        <f t="shared" si="0"/>
        <v>0.2</v>
      </c>
      <c r="G7" s="24">
        <f t="shared" si="0"/>
        <v>0.2</v>
      </c>
    </row>
    <row r="8" spans="1:7">
      <c r="A8" s="17" t="s">
        <v>56</v>
      </c>
      <c r="B8" s="22" t="s">
        <v>57</v>
      </c>
      <c r="C8" s="24">
        <v>0.4</v>
      </c>
      <c r="D8" s="24">
        <f>C8</f>
        <v>0.4</v>
      </c>
      <c r="E8" s="24">
        <f t="shared" ref="E8:G8" si="1">D8</f>
        <v>0.4</v>
      </c>
      <c r="F8" s="24">
        <f t="shared" si="1"/>
        <v>0.4</v>
      </c>
      <c r="G8" s="24">
        <f t="shared" si="1"/>
        <v>0.4</v>
      </c>
    </row>
    <row r="9" spans="1:7">
      <c r="A9" s="17" t="s">
        <v>58</v>
      </c>
      <c r="B9" s="22" t="s">
        <v>59</v>
      </c>
      <c r="C9" s="24">
        <v>-1</v>
      </c>
      <c r="D9" s="24">
        <f>C9+0.5</f>
        <v>-0.5</v>
      </c>
      <c r="E9" s="24">
        <f t="shared" ref="E9:G9" si="2">D9+0.5</f>
        <v>0</v>
      </c>
      <c r="F9" s="24">
        <f t="shared" si="2"/>
        <v>0.5</v>
      </c>
      <c r="G9" s="24">
        <f t="shared" si="2"/>
        <v>1</v>
      </c>
    </row>
    <row r="10" spans="1:7">
      <c r="A10" s="17" t="s">
        <v>60</v>
      </c>
      <c r="B10" s="22" t="s">
        <v>61</v>
      </c>
      <c r="C10" s="22">
        <v>0.05</v>
      </c>
      <c r="D10" s="22">
        <v>0.05</v>
      </c>
      <c r="E10" s="22">
        <v>0.05</v>
      </c>
      <c r="F10" s="22">
        <v>0.05</v>
      </c>
      <c r="G10" s="22">
        <v>0.05</v>
      </c>
    </row>
    <row r="11" spans="1:7">
      <c r="A11" s="17" t="s">
        <v>62</v>
      </c>
      <c r="B11" s="22" t="s">
        <v>63</v>
      </c>
      <c r="C11" s="25">
        <v>50</v>
      </c>
      <c r="D11" s="25">
        <f>C11</f>
        <v>50</v>
      </c>
      <c r="E11" s="25">
        <f t="shared" ref="E11:G11" si="3">D11</f>
        <v>50</v>
      </c>
      <c r="F11" s="25">
        <f t="shared" si="3"/>
        <v>50</v>
      </c>
      <c r="G11" s="25">
        <f t="shared" si="3"/>
        <v>50</v>
      </c>
    </row>
    <row r="12" spans="1:7">
      <c r="A12" s="17" t="s">
        <v>64</v>
      </c>
      <c r="B12" s="22" t="s">
        <v>65</v>
      </c>
      <c r="C12" s="25">
        <v>50</v>
      </c>
      <c r="D12" s="25">
        <f>C12</f>
        <v>50</v>
      </c>
      <c r="E12" s="25">
        <f t="shared" ref="E12:G12" si="4">D12</f>
        <v>50</v>
      </c>
      <c r="F12" s="25">
        <f t="shared" si="4"/>
        <v>50</v>
      </c>
      <c r="G12" s="25">
        <f t="shared" si="4"/>
        <v>50</v>
      </c>
    </row>
    <row r="13" spans="1:7">
      <c r="A13" s="17" t="s">
        <v>2</v>
      </c>
      <c r="B13" s="22" t="s">
        <v>2</v>
      </c>
      <c r="C13" s="23" t="s">
        <v>2</v>
      </c>
      <c r="D13" s="23" t="s">
        <v>2</v>
      </c>
      <c r="E13" s="23" t="s">
        <v>2</v>
      </c>
      <c r="F13" s="23" t="s">
        <v>2</v>
      </c>
      <c r="G13" s="23" t="s">
        <v>2</v>
      </c>
    </row>
    <row r="14" spans="1:7">
      <c r="A14" s="17" t="s">
        <v>2</v>
      </c>
      <c r="B14" s="22" t="s">
        <v>2</v>
      </c>
      <c r="C14" s="23" t="s">
        <v>2</v>
      </c>
      <c r="D14" s="23" t="s">
        <v>2</v>
      </c>
      <c r="E14" s="23" t="s">
        <v>2</v>
      </c>
      <c r="F14" s="23" t="s">
        <v>2</v>
      </c>
      <c r="G14" s="23" t="s">
        <v>2</v>
      </c>
    </row>
    <row r="15" spans="1:7">
      <c r="A15" s="17" t="s">
        <v>66</v>
      </c>
      <c r="B15" s="22" t="s">
        <v>67</v>
      </c>
      <c r="C15" s="23">
        <v>300</v>
      </c>
      <c r="D15" s="23">
        <f>C15</f>
        <v>300</v>
      </c>
      <c r="E15" s="23">
        <f t="shared" ref="E15:G15" si="5">D15</f>
        <v>300</v>
      </c>
      <c r="F15" s="23">
        <f t="shared" si="5"/>
        <v>300</v>
      </c>
      <c r="G15" s="23">
        <f t="shared" si="5"/>
        <v>300</v>
      </c>
    </row>
    <row r="16" spans="1:7">
      <c r="A16" s="17" t="s">
        <v>68</v>
      </c>
      <c r="B16" s="22" t="s">
        <v>69</v>
      </c>
      <c r="C16" s="23">
        <v>100</v>
      </c>
      <c r="D16" s="23">
        <v>100</v>
      </c>
      <c r="E16" s="23">
        <v>100</v>
      </c>
      <c r="F16" s="23">
        <v>100</v>
      </c>
      <c r="G16" s="23">
        <v>100</v>
      </c>
    </row>
    <row r="17" spans="1:7">
      <c r="A17" s="17" t="s">
        <v>70</v>
      </c>
      <c r="B17" s="17" t="s">
        <v>71</v>
      </c>
      <c r="C17" s="26">
        <f>(C3/C5-C11/C10)</f>
        <v>750</v>
      </c>
      <c r="D17" s="26">
        <f t="shared" ref="D17:G17" si="6">(D3/D5-D11/D10)</f>
        <v>750</v>
      </c>
      <c r="E17" s="26">
        <f t="shared" si="6"/>
        <v>750</v>
      </c>
      <c r="F17" s="26">
        <f t="shared" si="6"/>
        <v>750</v>
      </c>
      <c r="G17" s="26">
        <f t="shared" si="6"/>
        <v>750</v>
      </c>
    </row>
    <row r="18" spans="1:7">
      <c r="A18" s="17" t="s">
        <v>72</v>
      </c>
      <c r="B18" s="17" t="s">
        <v>73</v>
      </c>
      <c r="C18" s="26">
        <f>(C4/C6-C12/C10)</f>
        <v>1500</v>
      </c>
      <c r="D18" s="26">
        <f t="shared" ref="D18:G18" si="7">(D4/D6-D12/D10)</f>
        <v>1500</v>
      </c>
      <c r="E18" s="26">
        <f t="shared" si="7"/>
        <v>1500</v>
      </c>
      <c r="F18" s="26">
        <f t="shared" si="7"/>
        <v>1500</v>
      </c>
      <c r="G18" s="26">
        <f t="shared" si="7"/>
        <v>1500</v>
      </c>
    </row>
    <row r="19" spans="1:7">
      <c r="A19" s="17" t="s">
        <v>74</v>
      </c>
      <c r="B19" s="22" t="s">
        <v>75</v>
      </c>
      <c r="C19" s="27">
        <f>C3</f>
        <v>70</v>
      </c>
      <c r="D19" s="27">
        <f t="shared" ref="D19:G19" si="8">D3</f>
        <v>70</v>
      </c>
      <c r="E19" s="27">
        <f t="shared" si="8"/>
        <v>70</v>
      </c>
      <c r="F19" s="27">
        <f t="shared" si="8"/>
        <v>70</v>
      </c>
      <c r="G19" s="27">
        <f t="shared" si="8"/>
        <v>70</v>
      </c>
    </row>
    <row r="20" spans="1:7">
      <c r="A20" s="17" t="s">
        <v>109</v>
      </c>
      <c r="B20" s="22" t="s">
        <v>110</v>
      </c>
      <c r="C20" s="27">
        <f>C3</f>
        <v>70</v>
      </c>
      <c r="D20" s="27">
        <f t="shared" ref="D20:G20" si="9">D3</f>
        <v>70</v>
      </c>
      <c r="E20" s="27">
        <f t="shared" si="9"/>
        <v>70</v>
      </c>
      <c r="F20" s="27">
        <f t="shared" si="9"/>
        <v>70</v>
      </c>
      <c r="G20" s="27">
        <f t="shared" si="9"/>
        <v>70</v>
      </c>
    </row>
    <row r="21" spans="1:7">
      <c r="A21" s="17"/>
      <c r="B21" s="17" t="s">
        <v>76</v>
      </c>
      <c r="C21" s="17"/>
      <c r="D21" s="17"/>
      <c r="E21" s="17"/>
      <c r="F21" s="17"/>
      <c r="G21" s="17"/>
    </row>
    <row r="22" spans="1:7">
      <c r="A22" s="17" t="s">
        <v>78</v>
      </c>
      <c r="B22" s="28" t="s">
        <v>79</v>
      </c>
      <c r="C22" s="29">
        <f>C3/C5-C11/C10+C24*C3^C28*C4^C29</f>
        <v>2410.437040590346</v>
      </c>
      <c r="D22" s="29">
        <f t="shared" ref="D22:G22" si="10">D3/D5-D11/D10+D24*D3^D28*D4^D29</f>
        <v>2329.1323383427675</v>
      </c>
      <c r="E22" s="29">
        <f t="shared" si="10"/>
        <v>2216.0050530316075</v>
      </c>
      <c r="F22" s="29">
        <f t="shared" si="10"/>
        <v>2042.8013784501575</v>
      </c>
      <c r="G22" s="29">
        <f t="shared" si="10"/>
        <v>1713.388493200416</v>
      </c>
    </row>
    <row r="23" spans="1:7">
      <c r="A23" s="17" t="s">
        <v>80</v>
      </c>
      <c r="B23" s="28" t="s">
        <v>81</v>
      </c>
      <c r="C23" s="29">
        <f>C4/C6-C12/C10+C25*C3^C30*C4^C31</f>
        <v>2553.470950443203</v>
      </c>
      <c r="D23" s="29">
        <f t="shared" ref="D23:G23" si="11">D4/D6-D12/D10+D25*D3^D30*D4^D31</f>
        <v>2472.4992281277414</v>
      </c>
      <c r="E23" s="29">
        <f t="shared" si="11"/>
        <v>2359.2231501535089</v>
      </c>
      <c r="F23" s="29">
        <f t="shared" si="11"/>
        <v>2184.202850273593</v>
      </c>
      <c r="G23" s="29">
        <f t="shared" si="11"/>
        <v>1841.1531171369293</v>
      </c>
    </row>
    <row r="24" spans="1:7">
      <c r="A24" s="17"/>
      <c r="B24" s="28" t="s">
        <v>82</v>
      </c>
      <c r="C24" s="30">
        <v>10.423469669857969</v>
      </c>
      <c r="D24" s="30">
        <v>9.5385306056857182</v>
      </c>
      <c r="E24" s="30">
        <v>8.366359484526404</v>
      </c>
      <c r="F24" s="30">
        <v>6.69664547162128</v>
      </c>
      <c r="G24" s="30">
        <v>3.9445376432331152</v>
      </c>
    </row>
    <row r="25" spans="1:7">
      <c r="A25" s="17"/>
      <c r="B25" s="28" t="s">
        <v>111</v>
      </c>
      <c r="C25" s="30">
        <v>10.899020271827764</v>
      </c>
      <c r="D25" s="30">
        <v>9.958225874158078</v>
      </c>
      <c r="E25" s="30">
        <v>8.6650752706040404</v>
      </c>
      <c r="F25" s="30">
        <v>6.715428558611265</v>
      </c>
      <c r="G25" s="30">
        <v>3.0399984126626185</v>
      </c>
    </row>
    <row r="26" spans="1:7">
      <c r="A26" s="17" t="s">
        <v>74</v>
      </c>
      <c r="B26" s="32" t="s">
        <v>83</v>
      </c>
      <c r="C26" s="33">
        <v>214.53782010920702</v>
      </c>
      <c r="D26" s="33">
        <v>206.12752866476734</v>
      </c>
      <c r="E26" s="33">
        <v>196.09531141804288</v>
      </c>
      <c r="F26" s="33">
        <v>183.37775795387614</v>
      </c>
      <c r="G26" s="33">
        <v>164.71326303353291</v>
      </c>
    </row>
    <row r="27" spans="1:7">
      <c r="A27" s="17" t="s">
        <v>109</v>
      </c>
      <c r="B27" s="32" t="s">
        <v>112</v>
      </c>
      <c r="C27" s="33">
        <v>21.540419160045129</v>
      </c>
      <c r="D27" s="33">
        <v>24.225387893279315</v>
      </c>
      <c r="E27" s="33">
        <v>28.007648484429041</v>
      </c>
      <c r="F27" s="33">
        <v>34.081768406963278</v>
      </c>
      <c r="G27" s="33">
        <v>48.335643474245344</v>
      </c>
    </row>
    <row r="28" spans="1:7">
      <c r="A28" s="17" t="s">
        <v>84</v>
      </c>
      <c r="B28" s="32" t="s">
        <v>85</v>
      </c>
      <c r="C28" s="34">
        <v>-0.13777541550056815</v>
      </c>
      <c r="D28" s="34">
        <v>-0.16729541849103508</v>
      </c>
      <c r="E28" s="34">
        <v>-0.21441323578875346</v>
      </c>
      <c r="F28" s="34">
        <v>-0.30388463303724589</v>
      </c>
      <c r="G28" s="34">
        <v>-0.57002354702922908</v>
      </c>
    </row>
    <row r="29" spans="1:7">
      <c r="A29" s="17" t="s">
        <v>84</v>
      </c>
      <c r="B29" s="32" t="s">
        <v>87</v>
      </c>
      <c r="C29" s="34">
        <v>1.2282096275067131</v>
      </c>
      <c r="D29" s="34">
        <v>1.2638067492884206</v>
      </c>
      <c r="E29" s="34">
        <v>1.319606193497163</v>
      </c>
      <c r="F29" s="34">
        <v>1.4231857199133819</v>
      </c>
      <c r="G29" s="34">
        <v>1.7197773395988523</v>
      </c>
    </row>
    <row r="30" spans="1:7">
      <c r="A30" s="17" t="s">
        <v>84</v>
      </c>
      <c r="B30" s="32" t="s">
        <v>113</v>
      </c>
      <c r="C30" s="34">
        <v>1.2580564903813709</v>
      </c>
      <c r="D30" s="34">
        <v>1.3047109313831387</v>
      </c>
      <c r="E30" s="34">
        <v>1.3827728013068203</v>
      </c>
      <c r="F30" s="34">
        <v>1.545540989230725</v>
      </c>
      <c r="G30" s="34">
        <v>2.2196572771500822</v>
      </c>
    </row>
    <row r="31" spans="1:7">
      <c r="A31" s="17" t="s">
        <v>84</v>
      </c>
      <c r="B31" s="32" t="s">
        <v>114</v>
      </c>
      <c r="C31" s="34">
        <v>-0.16800123029360658</v>
      </c>
      <c r="D31" s="34">
        <v>-0.20880614488674903</v>
      </c>
      <c r="E31" s="34">
        <v>-0.27750887767556737</v>
      </c>
      <c r="F31" s="34">
        <v>-0.42178175210398988</v>
      </c>
      <c r="G31" s="34">
        <v>-1.0227046523026468</v>
      </c>
    </row>
    <row r="32" spans="1:7">
      <c r="A32" s="17"/>
      <c r="B32" s="17" t="s">
        <v>89</v>
      </c>
      <c r="C32" s="36"/>
      <c r="D32" s="36"/>
      <c r="E32" s="36"/>
      <c r="F32" s="36"/>
      <c r="G32" s="36"/>
    </row>
    <row r="33" spans="1:8">
      <c r="A33" s="17" t="s">
        <v>90</v>
      </c>
      <c r="B33" s="28" t="s">
        <v>115</v>
      </c>
      <c r="C33" s="37">
        <f>(C24*C19^C28*C26^C29+C19/C5-C11/C10-C25*C19^C30*C26^C31-C26/C6+C12/C10+C15)</f>
        <v>-3.637978807091713E-12</v>
      </c>
      <c r="D33" s="37">
        <f t="shared" ref="D33:G33" si="12">(D24*D19^D28*D26^D29+D19/D5-D11/D10-D25*D19^D30*D26^D31-D26/D6+D12/D10+D15)</f>
        <v>-5.4569682106375694E-12</v>
      </c>
      <c r="E33" s="37">
        <f t="shared" si="12"/>
        <v>-6.3664629124104977E-12</v>
      </c>
      <c r="F33" s="37">
        <f t="shared" si="12"/>
        <v>-4.5474735088646412E-12</v>
      </c>
      <c r="G33" s="37">
        <f t="shared" si="12"/>
        <v>-1.2751388567266986E-7</v>
      </c>
    </row>
    <row r="34" spans="1:8">
      <c r="A34" s="17" t="s">
        <v>116</v>
      </c>
      <c r="B34" s="28" t="s">
        <v>117</v>
      </c>
      <c r="C34" s="37">
        <f>(C24*C20^C28*C27^C29+C20/C5-C11/C10-C25*C20^C30*C27^C31-C27/C6+C12/C10-C16)</f>
        <v>-2.2737367544323206E-13</v>
      </c>
      <c r="D34" s="37">
        <f t="shared" ref="D34:G34" si="13">(D24*D20^D28*D27^D29+D20/D5-D11/D10-D25*D20^D30*D27^D31-D27/D6+D12/D10-D16)</f>
        <v>-6.8212102632969618E-13</v>
      </c>
      <c r="E34" s="37">
        <f t="shared" si="13"/>
        <v>1.1368683772161603E-13</v>
      </c>
      <c r="F34" s="37">
        <f t="shared" si="13"/>
        <v>-3.4106051316484809E-13</v>
      </c>
      <c r="G34" s="37">
        <f t="shared" si="13"/>
        <v>-2.0463721739361063E-7</v>
      </c>
    </row>
    <row r="35" spans="1:8">
      <c r="A35" s="17" t="s">
        <v>91</v>
      </c>
      <c r="B35" s="28" t="s">
        <v>118</v>
      </c>
      <c r="C35" s="37">
        <f>(C28*C24*C19^(C28-1)*C26^C29+1/C5-C30*C25*C19^(C30-1)*C26^C31)</f>
        <v>1.4210854715202004E-14</v>
      </c>
      <c r="D35" s="37">
        <f t="shared" ref="D35:G35" si="14">(D28*D24*D19^(D28-1)*D26^D29+1/D5-D30*D25*D19^(D30-1)*D26^D31)</f>
        <v>-1.7763568394002505E-15</v>
      </c>
      <c r="E35" s="37">
        <f t="shared" si="14"/>
        <v>2.1316282072803006E-14</v>
      </c>
      <c r="F35" s="37">
        <f t="shared" si="14"/>
        <v>-3.5527136788005009E-15</v>
      </c>
      <c r="G35" s="37">
        <f t="shared" si="14"/>
        <v>6.4440226044126803E-7</v>
      </c>
    </row>
    <row r="36" spans="1:8">
      <c r="A36" s="17" t="s">
        <v>92</v>
      </c>
      <c r="B36" s="28" t="s">
        <v>119</v>
      </c>
      <c r="C36" s="37">
        <f>(C29*C24*C19^C28*C26^(C29-1)-C31*C25*C19^C30*C26^(C31-1)-1/C6)</f>
        <v>-1.7763568394002505E-14</v>
      </c>
      <c r="D36" s="37">
        <f t="shared" ref="D36:G36" si="15">(D29*D24*D19^D28*D26^(D29-1)-D31*D25*D19^D30*D26^(D31-1)-1/D6)</f>
        <v>-2.4868995751603507E-14</v>
      </c>
      <c r="E36" s="37">
        <f t="shared" si="15"/>
        <v>-2.1316282072803006E-14</v>
      </c>
      <c r="F36" s="37">
        <f t="shared" si="15"/>
        <v>-7.1054273576010019E-15</v>
      </c>
      <c r="G36" s="37">
        <f t="shared" si="15"/>
        <v>-4.8064732283137346E-7</v>
      </c>
    </row>
    <row r="37" spans="1:8">
      <c r="A37" s="17" t="s">
        <v>120</v>
      </c>
      <c r="B37" s="28" t="s">
        <v>121</v>
      </c>
      <c r="C37" s="37">
        <f>(C28*C24*C20^(C28-1)*C27^C29+1/C5-C30*C25*C20^(C30-1)*C27^C31)</f>
        <v>1.0658141036401503E-14</v>
      </c>
      <c r="D37" s="37">
        <f t="shared" ref="D37:G37" si="16">(D28*D24*D20^(D28-1)*D27^D29+1/D5-D30*D25*D20^(D30-1)*D27^D31)</f>
        <v>-1.4210854715202004E-14</v>
      </c>
      <c r="E37" s="37">
        <f t="shared" si="16"/>
        <v>1.0658141036401503E-14</v>
      </c>
      <c r="F37" s="37">
        <f t="shared" si="16"/>
        <v>-7.1054273576010019E-15</v>
      </c>
      <c r="G37" s="37">
        <f t="shared" si="16"/>
        <v>-1.2170996654958799E-7</v>
      </c>
    </row>
    <row r="38" spans="1:8">
      <c r="A38" s="17" t="s">
        <v>122</v>
      </c>
      <c r="B38" s="28" t="s">
        <v>123</v>
      </c>
      <c r="C38" s="37">
        <f>(C29*C24*C20^C28*C27^(C29-1)-C31*C25*C20^C30*C27^(C31-1)-1/C6)</f>
        <v>-7.1054273576010019E-15</v>
      </c>
      <c r="D38" s="37">
        <f t="shared" ref="D38:G38" si="17">(D29*D24*D20^D28*D27^(D29-1)-D31*D25*D20^D30*D27^(D31-1)-1/D6)</f>
        <v>0</v>
      </c>
      <c r="E38" s="37">
        <f t="shared" si="17"/>
        <v>-1.4210854715202004E-14</v>
      </c>
      <c r="F38" s="37">
        <f t="shared" si="17"/>
        <v>7.1054273576010019E-15</v>
      </c>
      <c r="G38" s="37">
        <f t="shared" si="17"/>
        <v>2.4313079904914048E-7</v>
      </c>
    </row>
    <row r="39" spans="1:8">
      <c r="A39" s="17" t="s">
        <v>93</v>
      </c>
      <c r="B39" s="28" t="s">
        <v>124</v>
      </c>
      <c r="C39" s="37">
        <f>0.5*C7^2*C28*(C28-1)+0.5*C8^2*C29*(C29-1)+C9*C7*C8*C28*C29+C28*(C10-C5)+C29*(C10-C6)-C10</f>
        <v>0</v>
      </c>
      <c r="D39" s="37">
        <f t="shared" ref="D39:G39" si="18">0.5*D7^2*D28*(D28-1)+0.5*D8^2*D29*(D29-1)+D9*D7*D8*D28*D29+D28*(D10-D5)+D29*(D10-D6)-D10</f>
        <v>0</v>
      </c>
      <c r="E39" s="37">
        <f t="shared" si="18"/>
        <v>0</v>
      </c>
      <c r="F39" s="37">
        <f t="shared" si="18"/>
        <v>0</v>
      </c>
      <c r="G39" s="37">
        <f t="shared" si="18"/>
        <v>6.8054499535730173E-11</v>
      </c>
    </row>
    <row r="40" spans="1:8">
      <c r="A40" s="17" t="s">
        <v>125</v>
      </c>
      <c r="B40" s="28" t="s">
        <v>126</v>
      </c>
      <c r="C40" s="37">
        <f>0.5*C7^2*C30*(C30-1)+0.5*C8^2*C31*(C31-1)+C9*C7*C8*C30*C31+C30*(C10-C5)+C31*(C10-C6)-C10</f>
        <v>0</v>
      </c>
      <c r="D40" s="37">
        <f t="shared" ref="D40:G40" si="19">0.5*D7^2*D30*(D30-1)+0.5*D8^2*D31*(D31-1)+D9*D7*D8*D30*D31+D30*(D10-D5)+D31*(D10-D6)-D10</f>
        <v>0</v>
      </c>
      <c r="E40" s="37">
        <f t="shared" si="19"/>
        <v>0</v>
      </c>
      <c r="F40" s="37">
        <f t="shared" si="19"/>
        <v>0</v>
      </c>
      <c r="G40" s="37">
        <f t="shared" si="19"/>
        <v>8.4038401237940263E-12</v>
      </c>
    </row>
    <row r="41" spans="1:8">
      <c r="A41" s="17"/>
      <c r="B41" s="17" t="s">
        <v>94</v>
      </c>
      <c r="C41" s="38">
        <f>SUM(ABS(C33)+ABS(C34)+ABS(C35)+ABS(C36)+ABS(C37)+ABS(C38)+ABS(C39)+ABS(C40))</f>
        <v>3.915090474038152E-12</v>
      </c>
      <c r="D41" s="38">
        <f t="shared" ref="D41:G41" si="20">SUM(ABS(D33)+ABS(D34)+ABS(D35)+ABS(D36)+ABS(D37)+ABS(D38)+ABS(D39)+ABS(D40))</f>
        <v>6.1799454442734714E-12</v>
      </c>
      <c r="E41" s="38">
        <f t="shared" si="20"/>
        <v>6.5476513100293232E-12</v>
      </c>
      <c r="F41" s="38">
        <f t="shared" si="20"/>
        <v>4.9134030177810928E-12</v>
      </c>
      <c r="G41" s="38">
        <f t="shared" si="20"/>
        <v>1.82211791027731E-6</v>
      </c>
      <c r="H41" s="54">
        <f t="array" ref="H41">SUM(ABS(C41:G41))</f>
        <v>1.8221394663675561E-6</v>
      </c>
    </row>
    <row r="42" spans="1:8">
      <c r="B42" s="28" t="s">
        <v>139</v>
      </c>
    </row>
    <row r="43" spans="1:8">
      <c r="A43" s="28" t="s">
        <v>115</v>
      </c>
      <c r="B43" s="52" t="s">
        <v>129</v>
      </c>
    </row>
    <row r="44" spans="1:8">
      <c r="A44" s="28" t="s">
        <v>117</v>
      </c>
      <c r="B44" s="52" t="s">
        <v>130</v>
      </c>
    </row>
    <row r="45" spans="1:8">
      <c r="A45" s="28" t="s">
        <v>118</v>
      </c>
      <c r="B45" s="37" t="s">
        <v>131</v>
      </c>
    </row>
    <row r="46" spans="1:8">
      <c r="A46" s="28" t="s">
        <v>119</v>
      </c>
      <c r="B46" s="37" t="s">
        <v>132</v>
      </c>
    </row>
    <row r="47" spans="1:8">
      <c r="A47" s="28" t="s">
        <v>121</v>
      </c>
      <c r="B47" s="37" t="s">
        <v>133</v>
      </c>
    </row>
    <row r="48" spans="1:8">
      <c r="A48" s="28" t="s">
        <v>123</v>
      </c>
      <c r="B48" s="37" t="s">
        <v>134</v>
      </c>
    </row>
    <row r="49" spans="1:7">
      <c r="A49" s="28" t="s">
        <v>124</v>
      </c>
      <c r="B49" s="53" t="s">
        <v>135</v>
      </c>
    </row>
    <row r="50" spans="1:7">
      <c r="A50" s="28" t="s">
        <v>126</v>
      </c>
      <c r="B50" s="53" t="s">
        <v>136</v>
      </c>
    </row>
    <row r="51" spans="1:7">
      <c r="A51" s="28" t="s">
        <v>100</v>
      </c>
      <c r="C51" s="1">
        <f>C26-C27</f>
        <v>192.99740094916189</v>
      </c>
      <c r="D51" s="1">
        <f t="shared" ref="D51:G51" si="21">D26-D27</f>
        <v>181.90214077148804</v>
      </c>
      <c r="E51" s="1">
        <f t="shared" si="21"/>
        <v>168.08766293361384</v>
      </c>
      <c r="F51" s="1">
        <f t="shared" si="21"/>
        <v>149.29598954691286</v>
      </c>
      <c r="G51" s="1">
        <f t="shared" si="21"/>
        <v>116.37761955928757</v>
      </c>
    </row>
    <row r="52" spans="1:7">
      <c r="A52" s="28" t="s">
        <v>101</v>
      </c>
      <c r="B52" s="26" t="s">
        <v>137</v>
      </c>
    </row>
    <row r="53" spans="1:7">
      <c r="A53" s="28" t="s">
        <v>103</v>
      </c>
      <c r="B53" s="26" t="s">
        <v>138</v>
      </c>
    </row>
  </sheetData>
  <printOptions horizontalCentered="1" headings="1"/>
  <pageMargins left="0.7" right="0.7" top="0.4" bottom="0.75" header="0.3" footer="0.3"/>
  <pageSetup scale="70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3"/>
  <sheetViews>
    <sheetView topLeftCell="A35" workbookViewId="0">
      <selection activeCell="A43" sqref="A1:G43"/>
    </sheetView>
  </sheetViews>
  <sheetFormatPr defaultRowHeight="15"/>
  <cols>
    <col min="1" max="1" width="26.7109375" bestFit="1" customWidth="1"/>
  </cols>
  <sheetData>
    <row r="1" spans="1:6" ht="15.75">
      <c r="A1" s="16" t="s">
        <v>46</v>
      </c>
      <c r="B1" s="17"/>
      <c r="C1" s="18"/>
      <c r="D1" s="17"/>
      <c r="E1" s="17"/>
      <c r="F1" s="17"/>
    </row>
    <row r="2" spans="1:6">
      <c r="A2" s="17" t="s">
        <v>47</v>
      </c>
      <c r="C2" s="19" t="s">
        <v>2</v>
      </c>
      <c r="D2" s="17" t="s">
        <v>2</v>
      </c>
      <c r="E2" s="17"/>
      <c r="F2" s="17"/>
    </row>
    <row r="3" spans="1:6">
      <c r="A3" s="17" t="s">
        <v>140</v>
      </c>
      <c r="B3" s="17" t="s">
        <v>48</v>
      </c>
      <c r="C3" s="20">
        <v>70</v>
      </c>
      <c r="D3" s="21" t="s">
        <v>2</v>
      </c>
      <c r="E3" s="17"/>
      <c r="F3" s="17"/>
    </row>
    <row r="4" spans="1:6">
      <c r="A4" s="17" t="s">
        <v>141</v>
      </c>
      <c r="B4" s="17" t="s">
        <v>49</v>
      </c>
      <c r="C4" s="17">
        <v>100</v>
      </c>
      <c r="D4" s="21" t="s">
        <v>2</v>
      </c>
      <c r="E4" s="17"/>
      <c r="F4" s="17"/>
    </row>
    <row r="5" spans="1:6">
      <c r="A5" s="17" t="s">
        <v>50</v>
      </c>
      <c r="B5" s="22" t="s">
        <v>51</v>
      </c>
      <c r="C5" s="22">
        <v>0.04</v>
      </c>
      <c r="D5" s="21"/>
      <c r="E5" s="17"/>
      <c r="F5" s="17"/>
    </row>
    <row r="6" spans="1:6">
      <c r="A6" s="17" t="s">
        <v>52</v>
      </c>
      <c r="B6" s="22" t="s">
        <v>53</v>
      </c>
      <c r="C6" s="22">
        <v>0.04</v>
      </c>
      <c r="D6" s="23"/>
      <c r="E6" s="17"/>
      <c r="F6" s="17"/>
    </row>
    <row r="7" spans="1:6">
      <c r="A7" s="17" t="s">
        <v>54</v>
      </c>
      <c r="B7" s="22" t="s">
        <v>55</v>
      </c>
      <c r="C7" s="24">
        <v>0.2</v>
      </c>
      <c r="D7" s="23"/>
      <c r="E7" s="17"/>
      <c r="F7" s="17"/>
    </row>
    <row r="8" spans="1:6">
      <c r="A8" s="17" t="s">
        <v>56</v>
      </c>
      <c r="B8" s="22" t="s">
        <v>57</v>
      </c>
      <c r="C8" s="24">
        <v>0.4</v>
      </c>
      <c r="D8" s="23"/>
      <c r="E8" s="17"/>
      <c r="F8" s="17"/>
    </row>
    <row r="9" spans="1:6">
      <c r="A9" s="17" t="s">
        <v>58</v>
      </c>
      <c r="B9" s="22" t="s">
        <v>59</v>
      </c>
      <c r="C9" s="24">
        <v>0</v>
      </c>
      <c r="D9" s="23"/>
      <c r="E9" s="17"/>
      <c r="F9" s="17"/>
    </row>
    <row r="10" spans="1:6">
      <c r="A10" s="17" t="s">
        <v>60</v>
      </c>
      <c r="B10" s="22" t="s">
        <v>61</v>
      </c>
      <c r="C10" s="22">
        <v>0.05</v>
      </c>
      <c r="D10" s="23"/>
      <c r="E10" s="17"/>
      <c r="F10" s="17"/>
    </row>
    <row r="11" spans="1:6">
      <c r="A11" s="17" t="s">
        <v>62</v>
      </c>
      <c r="B11" s="22" t="s">
        <v>63</v>
      </c>
      <c r="C11" s="25">
        <v>50</v>
      </c>
      <c r="D11" s="23"/>
      <c r="E11" s="17"/>
      <c r="F11" s="17"/>
    </row>
    <row r="12" spans="1:6">
      <c r="A12" s="17" t="s">
        <v>64</v>
      </c>
      <c r="B12" s="22" t="s">
        <v>65</v>
      </c>
      <c r="C12" s="25">
        <v>50</v>
      </c>
      <c r="D12" s="23"/>
      <c r="E12" s="17"/>
      <c r="F12" s="17"/>
    </row>
    <row r="13" spans="1:6">
      <c r="A13" s="17" t="s">
        <v>66</v>
      </c>
      <c r="B13" s="22" t="s">
        <v>67</v>
      </c>
      <c r="C13" s="23">
        <v>300</v>
      </c>
      <c r="D13" s="23"/>
      <c r="E13" s="17"/>
      <c r="F13" s="17"/>
    </row>
    <row r="14" spans="1:6">
      <c r="A14" s="17" t="s">
        <v>2</v>
      </c>
      <c r="B14" s="22" t="s">
        <v>2</v>
      </c>
      <c r="C14" s="23" t="s">
        <v>2</v>
      </c>
      <c r="D14" s="23"/>
      <c r="E14" s="17"/>
      <c r="F14" s="17"/>
    </row>
    <row r="15" spans="1:6">
      <c r="A15" s="17" t="s">
        <v>70</v>
      </c>
      <c r="B15" s="17" t="s">
        <v>71</v>
      </c>
      <c r="C15" s="26">
        <f>(C3/C5-C11/C10)</f>
        <v>750</v>
      </c>
      <c r="D15" s="23" t="s">
        <v>2</v>
      </c>
      <c r="E15" s="17"/>
      <c r="F15" s="17"/>
    </row>
    <row r="16" spans="1:6">
      <c r="A16" s="17" t="s">
        <v>72</v>
      </c>
      <c r="B16" s="17" t="s">
        <v>73</v>
      </c>
      <c r="C16" s="26">
        <f>(C4/C6-C12/C10)</f>
        <v>1500</v>
      </c>
      <c r="D16" s="23" t="s">
        <v>2</v>
      </c>
      <c r="E16" s="17"/>
      <c r="F16" s="17"/>
    </row>
    <row r="17" spans="1:6">
      <c r="A17" s="17" t="s">
        <v>74</v>
      </c>
      <c r="B17" s="22" t="s">
        <v>75</v>
      </c>
      <c r="C17" s="27">
        <f>C3</f>
        <v>70</v>
      </c>
      <c r="D17" s="23"/>
      <c r="E17" s="17"/>
      <c r="F17" s="17"/>
    </row>
    <row r="18" spans="1:6">
      <c r="A18" s="17" t="s">
        <v>2</v>
      </c>
      <c r="B18" s="22" t="s">
        <v>2</v>
      </c>
      <c r="C18" s="27" t="s">
        <v>2</v>
      </c>
      <c r="D18" s="23"/>
      <c r="E18" s="17"/>
      <c r="F18" s="17"/>
    </row>
    <row r="19" spans="1:6">
      <c r="A19" s="17"/>
      <c r="B19" s="17" t="s">
        <v>76</v>
      </c>
      <c r="C19" s="17"/>
      <c r="D19" s="17" t="s">
        <v>77</v>
      </c>
      <c r="E19" s="17"/>
      <c r="F19" s="17"/>
    </row>
    <row r="20" spans="1:6">
      <c r="A20" s="17" t="s">
        <v>78</v>
      </c>
      <c r="B20" s="28" t="s">
        <v>79</v>
      </c>
      <c r="C20" s="29">
        <f>C3/C5-C11/C10+C22*C3^C24*C4^C25</f>
        <v>2044.5104154642336</v>
      </c>
      <c r="D20" s="29">
        <f>C20-C15</f>
        <v>1294.5104154642336</v>
      </c>
      <c r="E20" s="17"/>
      <c r="F20" s="17"/>
    </row>
    <row r="21" spans="1:6">
      <c r="A21" s="17" t="s">
        <v>80</v>
      </c>
      <c r="B21" s="28" t="s">
        <v>81</v>
      </c>
      <c r="C21" s="29">
        <f>C4/C6-C12/C10</f>
        <v>1500</v>
      </c>
      <c r="D21" s="26">
        <f>C21-C16</f>
        <v>0</v>
      </c>
      <c r="E21" s="17"/>
      <c r="F21" s="17"/>
    </row>
    <row r="22" spans="1:6">
      <c r="A22" s="17"/>
      <c r="B22" s="28" t="s">
        <v>82</v>
      </c>
      <c r="C22" s="30">
        <v>9.5366534493183863</v>
      </c>
      <c r="D22" s="31"/>
      <c r="E22" s="17"/>
      <c r="F22" s="17"/>
    </row>
    <row r="23" spans="1:6">
      <c r="A23" s="17" t="s">
        <v>74</v>
      </c>
      <c r="B23" s="32" t="s">
        <v>83</v>
      </c>
      <c r="C23" s="33">
        <v>344.55184931024706</v>
      </c>
      <c r="D23" s="21"/>
      <c r="E23" s="17"/>
      <c r="F23" s="17"/>
    </row>
    <row r="24" spans="1:6">
      <c r="A24" s="17" t="s">
        <v>84</v>
      </c>
      <c r="B24" s="32" t="s">
        <v>85</v>
      </c>
      <c r="C24" s="34">
        <v>-0.26661400478007857</v>
      </c>
      <c r="D24" s="35" t="s">
        <v>86</v>
      </c>
      <c r="E24" s="17"/>
      <c r="F24" s="17"/>
    </row>
    <row r="25" spans="1:6">
      <c r="A25" s="17" t="s">
        <v>84</v>
      </c>
      <c r="B25" s="32" t="s">
        <v>87</v>
      </c>
      <c r="C25" s="34">
        <v>1.3123192627740143</v>
      </c>
      <c r="D25" s="35" t="s">
        <v>88</v>
      </c>
      <c r="E25" s="17"/>
      <c r="F25" s="17"/>
    </row>
    <row r="26" spans="1:6">
      <c r="A26" s="17"/>
      <c r="B26" s="17" t="s">
        <v>89</v>
      </c>
      <c r="C26" s="36"/>
      <c r="D26" s="26"/>
      <c r="E26" s="17"/>
      <c r="F26" s="17"/>
    </row>
    <row r="27" spans="1:6">
      <c r="A27" s="17" t="s">
        <v>90</v>
      </c>
      <c r="B27" s="28" t="s">
        <v>127</v>
      </c>
      <c r="C27" s="37">
        <f>(C22*C17^C24*C23^C25+C17/C5-C11/C10-C23/C6+C12/C10+C13)</f>
        <v>-2.0017978386022151E-7</v>
      </c>
      <c r="D27" s="26"/>
      <c r="E27" s="17"/>
      <c r="F27" s="17"/>
    </row>
    <row r="28" spans="1:6">
      <c r="A28" s="17" t="s">
        <v>91</v>
      </c>
      <c r="B28" s="28" t="s">
        <v>128</v>
      </c>
      <c r="C28" s="37">
        <f>(C24*C22*C17^(C24-1)*C23^C25+1/C5)</f>
        <v>-1.7449366396249388E-9</v>
      </c>
      <c r="D28" s="26"/>
      <c r="E28" s="17"/>
      <c r="F28" s="17"/>
    </row>
    <row r="29" spans="1:6">
      <c r="A29" s="17" t="s">
        <v>92</v>
      </c>
      <c r="B29" s="28" t="s">
        <v>213</v>
      </c>
      <c r="C29" s="37">
        <f>(C25*C22*C17^C24*C23^(C25-1)-1/C6)</f>
        <v>4.3699088791981922E-10</v>
      </c>
      <c r="D29" s="26"/>
      <c r="E29" s="17"/>
      <c r="F29" s="17"/>
    </row>
    <row r="30" spans="1:6">
      <c r="A30" s="17" t="s">
        <v>217</v>
      </c>
      <c r="B30" s="28" t="s">
        <v>214</v>
      </c>
      <c r="C30" s="37">
        <f>0.5*C7^2*C24*(C24-1)+0.5*C8^2*C25*(C25-1)+C9*C7*C8*C24*C25+C24*(C10-C5)+C25*(C10-C6)-C10</f>
        <v>3.3581470937349422E-13</v>
      </c>
      <c r="D30" s="26"/>
      <c r="E30" s="17"/>
      <c r="F30" s="17"/>
    </row>
    <row r="31" spans="1:6">
      <c r="A31" s="17"/>
      <c r="B31" s="17" t="s">
        <v>94</v>
      </c>
      <c r="C31" s="38">
        <f t="array" ref="C31">SUM(ABS(C27:C30))</f>
        <v>2.0236204720247564E-7</v>
      </c>
      <c r="D31" s="39" t="s">
        <v>2</v>
      </c>
      <c r="E31" s="17"/>
      <c r="F31" s="17"/>
    </row>
    <row r="32" spans="1:6">
      <c r="B32" s="28" t="s">
        <v>95</v>
      </c>
    </row>
    <row r="33" spans="1:4">
      <c r="A33" s="28" t="str">
        <f>B27</f>
        <v>EQ 15</v>
      </c>
      <c r="B33" s="37" t="s">
        <v>96</v>
      </c>
    </row>
    <row r="34" spans="1:4">
      <c r="A34" s="28" t="str">
        <f>B28</f>
        <v>EQ 16</v>
      </c>
      <c r="B34" s="37" t="s">
        <v>97</v>
      </c>
    </row>
    <row r="35" spans="1:4">
      <c r="A35" s="28" t="str">
        <f>B29</f>
        <v>EQ 17</v>
      </c>
      <c r="B35" s="37" t="s">
        <v>98</v>
      </c>
    </row>
    <row r="36" spans="1:4">
      <c r="A36" s="28" t="str">
        <f>B30</f>
        <v>EQ 18</v>
      </c>
      <c r="B36" s="40" t="s">
        <v>99</v>
      </c>
    </row>
    <row r="37" spans="1:4">
      <c r="A37" s="28" t="s">
        <v>100</v>
      </c>
      <c r="C37" s="41">
        <f>C23-C4</f>
        <v>244.55184931024706</v>
      </c>
    </row>
    <row r="38" spans="1:4">
      <c r="A38" s="28" t="s">
        <v>101</v>
      </c>
      <c r="B38" s="29" t="s">
        <v>102</v>
      </c>
    </row>
    <row r="39" spans="1:4">
      <c r="A39" s="28" t="s">
        <v>103</v>
      </c>
      <c r="B39" s="29" t="s">
        <v>104</v>
      </c>
    </row>
    <row r="41" spans="1:4">
      <c r="B41" s="42" t="s">
        <v>105</v>
      </c>
      <c r="C41" s="43"/>
      <c r="D41" s="44"/>
    </row>
    <row r="42" spans="1:4">
      <c r="B42" s="45" t="s">
        <v>106</v>
      </c>
      <c r="C42" s="46">
        <f>-C25*C17/C24</f>
        <v>344.55184929222054</v>
      </c>
      <c r="D42" s="47"/>
    </row>
    <row r="43" spans="1:4">
      <c r="B43" s="48"/>
      <c r="C43" s="49" t="s">
        <v>107</v>
      </c>
      <c r="D43" s="50"/>
    </row>
  </sheetData>
  <printOptions horizontalCentered="1" headings="1"/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1"/>
  <sheetViews>
    <sheetView topLeftCell="A16" workbookViewId="0">
      <selection activeCell="I32" sqref="I32"/>
    </sheetView>
  </sheetViews>
  <sheetFormatPr defaultRowHeight="15"/>
  <sheetData>
    <row r="1" spans="1:7" ht="18.75">
      <c r="A1" s="14" t="s">
        <v>42</v>
      </c>
      <c r="B1" s="14"/>
      <c r="C1" s="14"/>
      <c r="D1" s="14"/>
      <c r="E1" s="14"/>
      <c r="F1" s="14"/>
      <c r="G1" s="14"/>
    </row>
    <row r="2" spans="1:7">
      <c r="A2" t="s">
        <v>0</v>
      </c>
      <c r="C2" t="s">
        <v>2</v>
      </c>
      <c r="D2" t="s">
        <v>2</v>
      </c>
    </row>
    <row r="3" spans="1:7">
      <c r="A3" t="s">
        <v>5</v>
      </c>
      <c r="B3" s="3">
        <v>20</v>
      </c>
      <c r="C3" s="3">
        <f>B3</f>
        <v>20</v>
      </c>
      <c r="D3" s="3">
        <f t="shared" ref="D3:G3" si="0">C3</f>
        <v>20</v>
      </c>
      <c r="E3" s="3">
        <f t="shared" si="0"/>
        <v>20</v>
      </c>
      <c r="F3" s="3">
        <f t="shared" si="0"/>
        <v>20</v>
      </c>
      <c r="G3" s="3">
        <f t="shared" si="0"/>
        <v>20</v>
      </c>
    </row>
    <row r="4" spans="1:7">
      <c r="A4" t="s">
        <v>4</v>
      </c>
      <c r="B4" s="3">
        <f>B29</f>
        <v>8</v>
      </c>
      <c r="C4" s="3">
        <f>B4</f>
        <v>8</v>
      </c>
      <c r="D4" s="3">
        <f t="shared" ref="D4:G4" si="1">C4</f>
        <v>8</v>
      </c>
      <c r="E4" s="3">
        <f t="shared" si="1"/>
        <v>8</v>
      </c>
      <c r="F4" s="3">
        <f t="shared" si="1"/>
        <v>8</v>
      </c>
      <c r="G4" s="3">
        <f t="shared" si="1"/>
        <v>8</v>
      </c>
    </row>
    <row r="5" spans="1:7">
      <c r="A5" t="s">
        <v>3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</row>
    <row r="6" spans="1:7">
      <c r="A6" t="s">
        <v>6</v>
      </c>
      <c r="B6" s="2">
        <v>50</v>
      </c>
      <c r="C6" s="2">
        <v>50</v>
      </c>
      <c r="D6" s="2">
        <v>50</v>
      </c>
      <c r="E6" s="2">
        <v>50</v>
      </c>
      <c r="F6" s="2">
        <v>50</v>
      </c>
      <c r="G6" s="2">
        <v>50</v>
      </c>
    </row>
    <row r="7" spans="1:7">
      <c r="A7" t="s">
        <v>7</v>
      </c>
      <c r="B7" s="2">
        <v>1</v>
      </c>
      <c r="C7" s="2">
        <v>25</v>
      </c>
      <c r="D7" s="2">
        <f>C7+25</f>
        <v>50</v>
      </c>
      <c r="E7" s="2">
        <f t="shared" ref="E7:G7" si="2">D7+25</f>
        <v>75</v>
      </c>
      <c r="F7" s="2">
        <f t="shared" si="2"/>
        <v>100</v>
      </c>
      <c r="G7" s="2">
        <f t="shared" si="2"/>
        <v>125</v>
      </c>
    </row>
    <row r="8" spans="1:7">
      <c r="A8" t="s">
        <v>9</v>
      </c>
      <c r="B8" s="1">
        <f>B4/B3</f>
        <v>0.4</v>
      </c>
      <c r="C8" s="1">
        <f t="shared" ref="C8:G8" si="3">C4/C3</f>
        <v>0.4</v>
      </c>
      <c r="D8" s="1">
        <f t="shared" si="3"/>
        <v>0.4</v>
      </c>
      <c r="E8" s="1">
        <f t="shared" si="3"/>
        <v>0.4</v>
      </c>
      <c r="F8" s="1">
        <f t="shared" si="3"/>
        <v>0.4</v>
      </c>
      <c r="G8" s="1">
        <f t="shared" si="3"/>
        <v>0.4</v>
      </c>
    </row>
    <row r="9" spans="1:7">
      <c r="A9" t="s">
        <v>1</v>
      </c>
    </row>
    <row r="10" spans="1:7">
      <c r="A10" t="s">
        <v>158</v>
      </c>
      <c r="B10" s="2">
        <f t="shared" ref="B10:G10" si="4">MIN(NORMINV((B8),B6,B7),B5)</f>
        <v>49.746652896864198</v>
      </c>
      <c r="C10" s="2">
        <f t="shared" si="4"/>
        <v>43.666322421605003</v>
      </c>
      <c r="D10" s="2">
        <f t="shared" si="4"/>
        <v>37.332644843210005</v>
      </c>
      <c r="E10" s="2">
        <f t="shared" si="4"/>
        <v>30.998967264815008</v>
      </c>
      <c r="F10" s="2">
        <f t="shared" si="4"/>
        <v>24.66528968642001</v>
      </c>
      <c r="G10" s="2">
        <f t="shared" si="4"/>
        <v>18.331612108025013</v>
      </c>
    </row>
    <row r="11" spans="1:7">
      <c r="A11" t="s">
        <v>158</v>
      </c>
      <c r="B11" s="2" t="s">
        <v>10</v>
      </c>
    </row>
    <row r="29" spans="1:4">
      <c r="A29" t="s">
        <v>4</v>
      </c>
      <c r="B29" s="1">
        <v>8</v>
      </c>
    </row>
    <row r="31" spans="1:4">
      <c r="D31" t="s">
        <v>2</v>
      </c>
    </row>
  </sheetData>
  <printOptions horizontalCentered="1" headings="1"/>
  <pageMargins left="0.7" right="0.7" top="0.75" bottom="0.75" header="0.3" footer="0.3"/>
  <pageSetup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9"/>
  <sheetViews>
    <sheetView topLeftCell="A25" workbookViewId="0">
      <selection activeCell="A33" sqref="A1:J33"/>
    </sheetView>
  </sheetViews>
  <sheetFormatPr defaultRowHeight="15"/>
  <cols>
    <col min="1" max="1" width="10.28515625" bestFit="1" customWidth="1"/>
  </cols>
  <sheetData>
    <row r="1" spans="1:10">
      <c r="C1" t="s">
        <v>154</v>
      </c>
    </row>
    <row r="2" spans="1:10">
      <c r="A2" s="4" t="s">
        <v>156</v>
      </c>
      <c r="B2" s="2">
        <f>MAX(MIN(NORMINV(B3,B4,B5),B6),0)</f>
        <v>0</v>
      </c>
      <c r="C2" s="2">
        <f t="shared" ref="C2:J2" si="0">MAX(MIN(NORMINV(C3,C4,C5),C6),0)</f>
        <v>11.467953359243225</v>
      </c>
      <c r="D2" s="2">
        <f t="shared" si="0"/>
        <v>24.66528968642001</v>
      </c>
      <c r="E2" s="2">
        <f t="shared" si="0"/>
        <v>37.4338653144926</v>
      </c>
      <c r="F2" s="2">
        <f t="shared" si="0"/>
        <v>49.999999999999986</v>
      </c>
      <c r="G2" s="2">
        <f t="shared" si="0"/>
        <v>62.5661346855074</v>
      </c>
      <c r="H2" s="2">
        <f t="shared" si="0"/>
        <v>75.334710313579961</v>
      </c>
      <c r="I2" s="2">
        <f t="shared" si="0"/>
        <v>88.532046640756761</v>
      </c>
      <c r="J2" s="2">
        <f t="shared" si="0"/>
        <v>100</v>
      </c>
    </row>
    <row r="3" spans="1:10">
      <c r="A3" t="s">
        <v>151</v>
      </c>
      <c r="B3" s="1">
        <f>B7</f>
        <v>0.3</v>
      </c>
      <c r="C3" s="1">
        <f t="shared" ref="C3:J3" si="1">C7</f>
        <v>0.35</v>
      </c>
      <c r="D3" s="1">
        <f t="shared" si="1"/>
        <v>0.4</v>
      </c>
      <c r="E3" s="1">
        <f t="shared" si="1"/>
        <v>0.45</v>
      </c>
      <c r="F3" s="1">
        <f t="shared" si="1"/>
        <v>0.5</v>
      </c>
      <c r="G3" s="1">
        <f t="shared" si="1"/>
        <v>0.55000000000000004</v>
      </c>
      <c r="H3" s="1">
        <f t="shared" si="1"/>
        <v>0.6</v>
      </c>
      <c r="I3" s="1">
        <f t="shared" si="1"/>
        <v>0.65</v>
      </c>
      <c r="J3" s="1">
        <f t="shared" si="1"/>
        <v>0.7</v>
      </c>
    </row>
    <row r="4" spans="1:10">
      <c r="A4" t="s">
        <v>152</v>
      </c>
      <c r="B4">
        <v>50</v>
      </c>
      <c r="C4">
        <f>B4</f>
        <v>50</v>
      </c>
      <c r="D4">
        <f t="shared" ref="D4:J4" si="2">C4</f>
        <v>50</v>
      </c>
      <c r="E4">
        <f t="shared" si="2"/>
        <v>50</v>
      </c>
      <c r="F4">
        <f t="shared" si="2"/>
        <v>50</v>
      </c>
      <c r="G4">
        <f t="shared" si="2"/>
        <v>50</v>
      </c>
      <c r="H4">
        <f t="shared" si="2"/>
        <v>50</v>
      </c>
      <c r="I4">
        <f t="shared" si="2"/>
        <v>50</v>
      </c>
      <c r="J4">
        <f t="shared" si="2"/>
        <v>50</v>
      </c>
    </row>
    <row r="5" spans="1:10">
      <c r="A5" t="s">
        <v>153</v>
      </c>
      <c r="B5">
        <f>B30</f>
        <v>100</v>
      </c>
      <c r="C5">
        <f>B5</f>
        <v>100</v>
      </c>
      <c r="D5">
        <f t="shared" ref="D5:J5" si="3">C5</f>
        <v>100</v>
      </c>
      <c r="E5">
        <f t="shared" si="3"/>
        <v>100</v>
      </c>
      <c r="F5">
        <f t="shared" si="3"/>
        <v>100</v>
      </c>
      <c r="G5">
        <f t="shared" si="3"/>
        <v>100</v>
      </c>
      <c r="H5">
        <f t="shared" si="3"/>
        <v>100</v>
      </c>
      <c r="I5">
        <f t="shared" si="3"/>
        <v>100</v>
      </c>
      <c r="J5">
        <f t="shared" si="3"/>
        <v>100</v>
      </c>
    </row>
    <row r="6" spans="1:10">
      <c r="A6" t="s">
        <v>155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0">
      <c r="A7" t="s">
        <v>9</v>
      </c>
      <c r="B7" s="66">
        <f t="shared" ref="B7:J7" si="4">B8/B9</f>
        <v>0.3</v>
      </c>
      <c r="C7" s="66">
        <f t="shared" si="4"/>
        <v>0.35</v>
      </c>
      <c r="D7" s="66">
        <f t="shared" si="4"/>
        <v>0.4</v>
      </c>
      <c r="E7" s="66">
        <f t="shared" si="4"/>
        <v>0.45</v>
      </c>
      <c r="F7" s="66">
        <f t="shared" si="4"/>
        <v>0.5</v>
      </c>
      <c r="G7" s="66">
        <f t="shared" si="4"/>
        <v>0.55000000000000004</v>
      </c>
      <c r="H7" s="66">
        <f t="shared" si="4"/>
        <v>0.6</v>
      </c>
      <c r="I7" s="66">
        <f t="shared" si="4"/>
        <v>0.65</v>
      </c>
      <c r="J7" s="66">
        <f t="shared" si="4"/>
        <v>0.7</v>
      </c>
    </row>
    <row r="8" spans="1:10">
      <c r="A8" t="s">
        <v>4</v>
      </c>
      <c r="B8">
        <v>30</v>
      </c>
      <c r="C8">
        <v>35</v>
      </c>
      <c r="D8">
        <f t="shared" ref="D8:J8" si="5">C8+5</f>
        <v>40</v>
      </c>
      <c r="E8">
        <f t="shared" si="5"/>
        <v>45</v>
      </c>
      <c r="F8">
        <f t="shared" si="5"/>
        <v>50</v>
      </c>
      <c r="G8">
        <f t="shared" si="5"/>
        <v>55</v>
      </c>
      <c r="H8">
        <f t="shared" si="5"/>
        <v>60</v>
      </c>
      <c r="I8">
        <f t="shared" si="5"/>
        <v>65</v>
      </c>
      <c r="J8">
        <f t="shared" si="5"/>
        <v>70</v>
      </c>
    </row>
    <row r="9" spans="1:10">
      <c r="A9" t="s">
        <v>5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</row>
    <row r="30" spans="1:10">
      <c r="A30" t="s">
        <v>153</v>
      </c>
      <c r="B30">
        <v>100</v>
      </c>
    </row>
    <row r="31" spans="1:10">
      <c r="A31" t="s">
        <v>156</v>
      </c>
      <c r="B31" s="2" t="s">
        <v>157</v>
      </c>
    </row>
    <row r="32" spans="1:10">
      <c r="A32" t="s">
        <v>156</v>
      </c>
      <c r="B32" t="s">
        <v>2</v>
      </c>
      <c r="C32" s="2">
        <f t="shared" ref="C32:J32" si="6">C59</f>
        <v>11.861384127510348</v>
      </c>
      <c r="D32" s="2">
        <f t="shared" si="6"/>
        <v>24.543845805364541</v>
      </c>
      <c r="E32" s="2">
        <f t="shared" si="6"/>
        <v>37.226307483218719</v>
      </c>
      <c r="F32" s="2">
        <f t="shared" si="6"/>
        <v>49.908769161072897</v>
      </c>
      <c r="G32" s="2">
        <f t="shared" si="6"/>
        <v>62.591230838927089</v>
      </c>
      <c r="H32" s="2">
        <f t="shared" si="6"/>
        <v>75.273692516781239</v>
      </c>
      <c r="I32" s="2">
        <f t="shared" si="6"/>
        <v>87.956154194635445</v>
      </c>
      <c r="J32" s="2">
        <f t="shared" si="6"/>
        <v>100.63861587248959</v>
      </c>
    </row>
    <row r="33" spans="1:9">
      <c r="A33" t="s">
        <v>156</v>
      </c>
      <c r="C33" s="65" t="s">
        <v>251</v>
      </c>
    </row>
    <row r="34" spans="1:9" ht="15.75" thickBot="1"/>
    <row r="35" spans="1:9">
      <c r="A35" s="64" t="s">
        <v>219</v>
      </c>
      <c r="B35" s="64"/>
    </row>
    <row r="36" spans="1:9">
      <c r="A36" s="61" t="s">
        <v>220</v>
      </c>
      <c r="B36" s="61">
        <v>0.99992860083392499</v>
      </c>
    </row>
    <row r="37" spans="1:9">
      <c r="A37" s="61" t="s">
        <v>221</v>
      </c>
      <c r="B37" s="61">
        <v>0.9998572067656909</v>
      </c>
    </row>
    <row r="38" spans="1:9">
      <c r="A38" s="61" t="s">
        <v>222</v>
      </c>
      <c r="B38" s="61">
        <v>-1.3333333333333333</v>
      </c>
    </row>
    <row r="39" spans="1:9">
      <c r="A39" s="61" t="s">
        <v>223</v>
      </c>
      <c r="B39" s="61">
        <v>0.40099356509745998</v>
      </c>
    </row>
    <row r="40" spans="1:9" ht="15.75" thickBot="1">
      <c r="A40" s="62" t="s">
        <v>224</v>
      </c>
      <c r="B40" s="62">
        <v>1</v>
      </c>
    </row>
    <row r="42" spans="1:9" ht="15.75" thickBot="1">
      <c r="A42" t="s">
        <v>225</v>
      </c>
    </row>
    <row r="43" spans="1:9">
      <c r="A43" s="63"/>
      <c r="B43" s="63" t="s">
        <v>230</v>
      </c>
      <c r="C43" s="63" t="s">
        <v>231</v>
      </c>
      <c r="D43" s="63" t="s">
        <v>232</v>
      </c>
      <c r="E43" s="63" t="s">
        <v>233</v>
      </c>
      <c r="F43" s="63" t="s">
        <v>234</v>
      </c>
    </row>
    <row r="44" spans="1:9">
      <c r="A44" s="61" t="s">
        <v>226</v>
      </c>
      <c r="B44" s="61">
        <v>8</v>
      </c>
      <c r="C44" s="61">
        <v>6755.4830368300691</v>
      </c>
      <c r="D44" s="61">
        <v>844.43537960375863</v>
      </c>
      <c r="E44" s="61">
        <v>42012.797522359382</v>
      </c>
      <c r="F44" s="61" t="e">
        <v>#NUM!</v>
      </c>
    </row>
    <row r="45" spans="1:9">
      <c r="A45" s="61" t="s">
        <v>227</v>
      </c>
      <c r="B45" s="61">
        <v>6</v>
      </c>
      <c r="C45" s="61">
        <v>0.96477503549742527</v>
      </c>
      <c r="D45" s="61">
        <v>0.16079583924957089</v>
      </c>
      <c r="E45" s="61"/>
      <c r="F45" s="61"/>
    </row>
    <row r="46" spans="1:9" ht="15.75" thickBot="1">
      <c r="A46" s="62" t="s">
        <v>228</v>
      </c>
      <c r="B46" s="62">
        <v>14</v>
      </c>
      <c r="C46" s="62">
        <v>6756.4478118655661</v>
      </c>
      <c r="D46" s="62"/>
      <c r="E46" s="62"/>
      <c r="F46" s="62"/>
    </row>
    <row r="47" spans="1:9" ht="15.75" thickBot="1"/>
    <row r="48" spans="1:9">
      <c r="A48" s="63"/>
      <c r="B48" s="63" t="s">
        <v>235</v>
      </c>
      <c r="C48" s="63" t="s">
        <v>223</v>
      </c>
      <c r="D48" s="63" t="s">
        <v>236</v>
      </c>
      <c r="E48" s="63" t="s">
        <v>237</v>
      </c>
      <c r="F48" s="63" t="s">
        <v>238</v>
      </c>
      <c r="G48" s="63" t="s">
        <v>239</v>
      </c>
      <c r="H48" s="63" t="s">
        <v>240</v>
      </c>
      <c r="I48" s="63" t="s">
        <v>241</v>
      </c>
    </row>
    <row r="49" spans="1:10">
      <c r="A49" s="61" t="s">
        <v>229</v>
      </c>
      <c r="B49" s="61"/>
      <c r="C49" s="61"/>
      <c r="D49" s="61"/>
      <c r="E49" s="61"/>
      <c r="F49" s="61"/>
      <c r="G49" s="61"/>
      <c r="H49" s="61">
        <v>0</v>
      </c>
      <c r="I49" s="61" t="e">
        <v>#NUM!</v>
      </c>
    </row>
    <row r="50" spans="1:10">
      <c r="A50" s="61" t="s">
        <v>242</v>
      </c>
      <c r="B50" s="61"/>
      <c r="C50" s="61"/>
      <c r="D50" s="61"/>
      <c r="E50" s="61"/>
      <c r="F50" s="61"/>
      <c r="G50" s="61"/>
      <c r="H50" s="61">
        <v>4.1188623428385236E+212</v>
      </c>
      <c r="I50" s="61">
        <v>-4.1188623428385236E+212</v>
      </c>
    </row>
    <row r="51" spans="1:10">
      <c r="A51" s="61" t="s">
        <v>243</v>
      </c>
      <c r="B51" s="61"/>
      <c r="C51" s="61"/>
      <c r="D51" s="61"/>
      <c r="E51" s="61"/>
      <c r="F51" s="61"/>
      <c r="G51" s="61"/>
      <c r="H51" s="61">
        <v>1.7802010615884176E-306</v>
      </c>
      <c r="I51" s="61">
        <v>1.7802023131894452E-306</v>
      </c>
    </row>
    <row r="52" spans="1:10">
      <c r="A52" s="61" t="s">
        <v>244</v>
      </c>
      <c r="B52" s="61"/>
      <c r="C52" s="61"/>
      <c r="D52" s="61"/>
      <c r="E52" s="61"/>
      <c r="F52" s="61"/>
      <c r="G52" s="61"/>
      <c r="H52" s="61">
        <v>19.416980629537573</v>
      </c>
      <c r="I52" s="61">
        <v>19.416980629537573</v>
      </c>
    </row>
    <row r="53" spans="1:10">
      <c r="A53" s="61" t="s">
        <v>245</v>
      </c>
      <c r="B53" s="61"/>
      <c r="C53" s="61"/>
      <c r="D53" s="61"/>
      <c r="E53" s="61"/>
      <c r="F53" s="61"/>
      <c r="G53" s="61"/>
      <c r="H53" s="61">
        <v>19.970849031476877</v>
      </c>
      <c r="I53" s="61">
        <v>19.970849031476877</v>
      </c>
    </row>
    <row r="54" spans="1:10">
      <c r="A54" s="61" t="s">
        <v>246</v>
      </c>
      <c r="B54" s="61"/>
      <c r="C54" s="61"/>
      <c r="D54" s="61"/>
      <c r="E54" s="61"/>
      <c r="F54" s="61"/>
      <c r="G54" s="61"/>
      <c r="H54" s="61">
        <v>4.9406564584124654E-324</v>
      </c>
      <c r="I54" s="61">
        <v>4.9406564584124654E-324</v>
      </c>
    </row>
    <row r="55" spans="1:10">
      <c r="A55" s="61" t="s">
        <v>247</v>
      </c>
      <c r="B55" s="61"/>
      <c r="C55" s="61"/>
      <c r="D55" s="61"/>
      <c r="E55" s="61"/>
      <c r="F55" s="61"/>
      <c r="G55" s="61"/>
      <c r="H55" s="61">
        <v>9.0823982616429872E+123</v>
      </c>
      <c r="I55" s="61">
        <v>9.0823982616429872E+123</v>
      </c>
    </row>
    <row r="56" spans="1:10">
      <c r="A56" s="61" t="s">
        <v>248</v>
      </c>
      <c r="B56" s="61">
        <v>-76.915847617468899</v>
      </c>
      <c r="C56" s="61">
        <v>0.66497259938761399</v>
      </c>
      <c r="D56" s="61">
        <v>-115.66769471148461</v>
      </c>
      <c r="E56" s="61">
        <v>2.8152706031131187E-11</v>
      </c>
      <c r="F56" s="61">
        <v>-78.54297694846359</v>
      </c>
      <c r="G56" s="61">
        <v>-75.288718286474207</v>
      </c>
      <c r="H56" s="61">
        <v>-78.54297694846359</v>
      </c>
      <c r="I56" s="61">
        <v>-75.288718286474207</v>
      </c>
    </row>
    <row r="57" spans="1:10" ht="15.75" thickBot="1">
      <c r="A57" s="62" t="s">
        <v>249</v>
      </c>
      <c r="B57" s="62">
        <v>253.64923355708359</v>
      </c>
      <c r="C57" s="62">
        <v>1.2374930081556053</v>
      </c>
      <c r="D57" s="62">
        <v>204.9702356986482</v>
      </c>
      <c r="E57" s="62">
        <v>9.0990524865984179E-13</v>
      </c>
      <c r="F57" s="62">
        <v>250.62119725555002</v>
      </c>
      <c r="G57" s="62">
        <v>256.67726985861714</v>
      </c>
      <c r="H57" s="62">
        <v>250.62119725555002</v>
      </c>
      <c r="I57" s="62">
        <v>256.67726985861714</v>
      </c>
    </row>
    <row r="59" spans="1:10">
      <c r="A59" t="s">
        <v>250</v>
      </c>
      <c r="C59">
        <f>$B$56+$B$57*C7</f>
        <v>11.861384127510348</v>
      </c>
      <c r="D59">
        <f t="shared" ref="D59:J59" si="7">$B$56+$B$57*D7</f>
        <v>24.543845805364541</v>
      </c>
      <c r="E59">
        <f t="shared" si="7"/>
        <v>37.226307483218719</v>
      </c>
      <c r="F59">
        <f t="shared" si="7"/>
        <v>49.908769161072897</v>
      </c>
      <c r="G59">
        <f t="shared" si="7"/>
        <v>62.591230838927089</v>
      </c>
      <c r="H59">
        <f t="shared" si="7"/>
        <v>75.273692516781239</v>
      </c>
      <c r="I59">
        <f t="shared" si="7"/>
        <v>87.956154194635445</v>
      </c>
      <c r="J59">
        <f t="shared" si="7"/>
        <v>100.63861587248959</v>
      </c>
    </row>
  </sheetData>
  <printOptions horizontalCentered="1" headings="1"/>
  <pageMargins left="0.7" right="0.7" top="0.75" bottom="0.75" header="0.3" footer="0.3"/>
  <pageSetup scale="9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0"/>
    </sheetView>
  </sheetViews>
  <sheetFormatPr defaultRowHeight="15"/>
  <cols>
    <col min="1" max="1" width="21.140625" bestFit="1" customWidth="1"/>
  </cols>
  <sheetData>
    <row r="1" spans="1:4">
      <c r="A1" s="5" t="s">
        <v>167</v>
      </c>
      <c r="B1" s="5"/>
      <c r="C1" s="57"/>
      <c r="D1" s="57"/>
    </row>
    <row r="2" spans="1:4">
      <c r="A2" t="s">
        <v>11</v>
      </c>
      <c r="B2">
        <v>105</v>
      </c>
    </row>
    <row r="3" spans="1:4">
      <c r="A3" t="s">
        <v>45</v>
      </c>
      <c r="B3" s="57">
        <v>300</v>
      </c>
    </row>
    <row r="4" spans="1:4">
      <c r="A4" t="s">
        <v>12</v>
      </c>
      <c r="B4">
        <v>210</v>
      </c>
    </row>
    <row r="5" spans="1:4">
      <c r="A5" t="s">
        <v>43</v>
      </c>
      <c r="B5">
        <v>20</v>
      </c>
    </row>
    <row r="6" spans="1:4">
      <c r="A6" t="s">
        <v>44</v>
      </c>
      <c r="B6" s="1">
        <v>10</v>
      </c>
    </row>
    <row r="7" spans="1:4">
      <c r="A7" t="s">
        <v>13</v>
      </c>
      <c r="B7" s="1">
        <f>NORMINV((B2/(B2+B3)),B5,B6)</f>
        <v>13.543692507240179</v>
      </c>
    </row>
    <row r="8" spans="1:4">
      <c r="A8" t="s">
        <v>165</v>
      </c>
      <c r="B8" s="2">
        <f>B4+B7</f>
        <v>223.54369250724017</v>
      </c>
    </row>
    <row r="10" spans="1:4">
      <c r="A10" t="s">
        <v>13</v>
      </c>
      <c r="B10" s="1" t="s">
        <v>166</v>
      </c>
    </row>
  </sheetData>
  <printOptions horizontalCentered="1" headings="1"/>
  <pageMargins left="0.7" right="0.7" top="0.75" bottom="0.75" header="0.3" footer="0.3"/>
  <pageSetup scale="11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sqref="A1:I28"/>
    </sheetView>
  </sheetViews>
  <sheetFormatPr defaultRowHeight="15"/>
  <cols>
    <col min="1" max="1" width="21.140625" bestFit="1" customWidth="1"/>
  </cols>
  <sheetData>
    <row r="1" spans="1:9" ht="15.75">
      <c r="A1" s="15" t="s">
        <v>167</v>
      </c>
      <c r="B1" s="5"/>
      <c r="C1" s="58"/>
      <c r="D1" s="58"/>
      <c r="E1" s="59"/>
      <c r="F1" s="59"/>
      <c r="G1" s="59"/>
      <c r="H1" s="59"/>
      <c r="I1" s="59"/>
    </row>
    <row r="2" spans="1:9">
      <c r="A2" t="s">
        <v>11</v>
      </c>
      <c r="B2">
        <v>105</v>
      </c>
      <c r="C2">
        <f>B2</f>
        <v>105</v>
      </c>
      <c r="D2">
        <f t="shared" ref="D2:I2" si="0">C2</f>
        <v>105</v>
      </c>
      <c r="E2">
        <f t="shared" si="0"/>
        <v>105</v>
      </c>
      <c r="F2">
        <f t="shared" si="0"/>
        <v>105</v>
      </c>
      <c r="G2">
        <f t="shared" si="0"/>
        <v>105</v>
      </c>
      <c r="H2">
        <f t="shared" si="0"/>
        <v>105</v>
      </c>
      <c r="I2">
        <f t="shared" si="0"/>
        <v>105</v>
      </c>
    </row>
    <row r="3" spans="1:9">
      <c r="A3" t="s">
        <v>45</v>
      </c>
      <c r="B3" s="57">
        <v>300</v>
      </c>
      <c r="C3">
        <f>B3</f>
        <v>300</v>
      </c>
      <c r="D3">
        <f t="shared" ref="D3:I3" si="1">C3</f>
        <v>300</v>
      </c>
      <c r="E3">
        <f t="shared" si="1"/>
        <v>300</v>
      </c>
      <c r="F3">
        <f t="shared" si="1"/>
        <v>300</v>
      </c>
      <c r="G3">
        <f t="shared" si="1"/>
        <v>300</v>
      </c>
      <c r="H3">
        <f t="shared" si="1"/>
        <v>300</v>
      </c>
      <c r="I3">
        <f t="shared" si="1"/>
        <v>300</v>
      </c>
    </row>
    <row r="4" spans="1:9">
      <c r="A4" t="s">
        <v>12</v>
      </c>
      <c r="B4">
        <v>210</v>
      </c>
      <c r="C4">
        <f t="shared" ref="C4:I6" si="2">B4</f>
        <v>210</v>
      </c>
      <c r="D4">
        <f t="shared" si="2"/>
        <v>210</v>
      </c>
      <c r="E4">
        <f t="shared" si="2"/>
        <v>210</v>
      </c>
      <c r="F4">
        <f t="shared" si="2"/>
        <v>210</v>
      </c>
      <c r="G4">
        <f t="shared" si="2"/>
        <v>210</v>
      </c>
      <c r="H4">
        <f t="shared" si="2"/>
        <v>210</v>
      </c>
      <c r="I4">
        <f t="shared" si="2"/>
        <v>210</v>
      </c>
    </row>
    <row r="5" spans="1:9">
      <c r="A5" t="s">
        <v>43</v>
      </c>
      <c r="B5">
        <v>5</v>
      </c>
      <c r="C5">
        <f>B5+5</f>
        <v>10</v>
      </c>
      <c r="D5">
        <f t="shared" ref="D5:I5" si="3">C5+5</f>
        <v>15</v>
      </c>
      <c r="E5">
        <f t="shared" si="3"/>
        <v>20</v>
      </c>
      <c r="F5">
        <f t="shared" si="3"/>
        <v>25</v>
      </c>
      <c r="G5">
        <f t="shared" si="3"/>
        <v>30</v>
      </c>
      <c r="H5">
        <f t="shared" si="3"/>
        <v>35</v>
      </c>
      <c r="I5">
        <f t="shared" si="3"/>
        <v>40</v>
      </c>
    </row>
    <row r="6" spans="1:9">
      <c r="A6" t="s">
        <v>44</v>
      </c>
      <c r="B6" s="2">
        <v>10</v>
      </c>
      <c r="C6">
        <f t="shared" si="2"/>
        <v>10</v>
      </c>
      <c r="D6">
        <f t="shared" si="2"/>
        <v>10</v>
      </c>
      <c r="E6">
        <f t="shared" si="2"/>
        <v>10</v>
      </c>
      <c r="F6">
        <f t="shared" si="2"/>
        <v>10</v>
      </c>
      <c r="G6">
        <f t="shared" si="2"/>
        <v>10</v>
      </c>
      <c r="H6">
        <f t="shared" si="2"/>
        <v>10</v>
      </c>
      <c r="I6">
        <f t="shared" si="2"/>
        <v>10</v>
      </c>
    </row>
    <row r="7" spans="1:9">
      <c r="A7" t="s">
        <v>252</v>
      </c>
      <c r="B7" s="1">
        <f>MAX(NORMINV((B2/(B2+B3)),B5,B6),0)</f>
        <v>0</v>
      </c>
      <c r="C7" s="1">
        <f t="shared" ref="C7:I7" si="4">MAX(NORMINV((C2/(C2+C3)),C5,C6),0)</f>
        <v>3.5436925072401788</v>
      </c>
      <c r="D7" s="1">
        <f t="shared" si="4"/>
        <v>8.5436925072401788</v>
      </c>
      <c r="E7" s="1">
        <f t="shared" si="4"/>
        <v>13.543692507240179</v>
      </c>
      <c r="F7" s="1">
        <f t="shared" si="4"/>
        <v>18.543692507240181</v>
      </c>
      <c r="G7" s="1">
        <f t="shared" si="4"/>
        <v>23.543692507240181</v>
      </c>
      <c r="H7" s="1">
        <f t="shared" si="4"/>
        <v>28.543692507240181</v>
      </c>
      <c r="I7" s="1">
        <f t="shared" si="4"/>
        <v>33.543692507240181</v>
      </c>
    </row>
    <row r="8" spans="1:9">
      <c r="A8" t="s">
        <v>165</v>
      </c>
      <c r="B8" s="2">
        <f>B4+B7</f>
        <v>210</v>
      </c>
      <c r="C8" s="2">
        <f t="shared" ref="C8:I8" si="5">C4+C7</f>
        <v>213.54369250724017</v>
      </c>
      <c r="D8" s="2">
        <f t="shared" si="5"/>
        <v>218.54369250724017</v>
      </c>
      <c r="E8" s="2">
        <f t="shared" si="5"/>
        <v>223.54369250724017</v>
      </c>
      <c r="F8" s="2">
        <f t="shared" si="5"/>
        <v>228.54369250724017</v>
      </c>
      <c r="G8" s="2">
        <f t="shared" si="5"/>
        <v>233.54369250724017</v>
      </c>
      <c r="H8" s="2">
        <f t="shared" si="5"/>
        <v>238.54369250724017</v>
      </c>
      <c r="I8" s="2">
        <f t="shared" si="5"/>
        <v>243.54369250724017</v>
      </c>
    </row>
    <row r="9" spans="1:9">
      <c r="A9" t="s">
        <v>13</v>
      </c>
      <c r="B9" s="1" t="s">
        <v>168</v>
      </c>
    </row>
    <row r="10" spans="1:9">
      <c r="A10" t="s">
        <v>253</v>
      </c>
      <c r="C10">
        <f t="shared" ref="C10:I10" si="6">-6.45+C5</f>
        <v>3.55</v>
      </c>
      <c r="D10">
        <f t="shared" si="6"/>
        <v>8.5500000000000007</v>
      </c>
      <c r="E10">
        <f t="shared" si="6"/>
        <v>13.55</v>
      </c>
      <c r="F10">
        <f t="shared" si="6"/>
        <v>18.55</v>
      </c>
      <c r="G10">
        <f t="shared" si="6"/>
        <v>23.55</v>
      </c>
      <c r="H10">
        <f t="shared" si="6"/>
        <v>28.55</v>
      </c>
      <c r="I10">
        <f t="shared" si="6"/>
        <v>33.549999999999997</v>
      </c>
    </row>
    <row r="28" spans="1:3">
      <c r="A28" t="s">
        <v>253</v>
      </c>
      <c r="C28" s="65" t="s">
        <v>254</v>
      </c>
    </row>
    <row r="33" spans="1:9">
      <c r="A33" t="s">
        <v>218</v>
      </c>
    </row>
    <row r="34" spans="1:9" ht="15.75" thickBot="1"/>
    <row r="35" spans="1:9">
      <c r="A35" s="64" t="s">
        <v>219</v>
      </c>
      <c r="B35" s="64"/>
    </row>
    <row r="36" spans="1:9">
      <c r="A36" s="61" t="s">
        <v>220</v>
      </c>
      <c r="B36" s="61">
        <v>1</v>
      </c>
    </row>
    <row r="37" spans="1:9">
      <c r="A37" s="61" t="s">
        <v>221</v>
      </c>
      <c r="B37" s="61">
        <v>1</v>
      </c>
    </row>
    <row r="38" spans="1:9">
      <c r="A38" s="61" t="s">
        <v>222</v>
      </c>
      <c r="B38" s="61">
        <v>-1.4</v>
      </c>
    </row>
    <row r="39" spans="1:9">
      <c r="A39" s="61" t="s">
        <v>223</v>
      </c>
      <c r="B39" s="61">
        <v>5.2975349362419527E-16</v>
      </c>
    </row>
    <row r="40" spans="1:9" ht="15.75" thickBot="1">
      <c r="A40" s="62" t="s">
        <v>224</v>
      </c>
      <c r="B40" s="62">
        <v>1</v>
      </c>
    </row>
    <row r="42" spans="1:9" ht="15.75" thickBot="1">
      <c r="A42" t="s">
        <v>225</v>
      </c>
    </row>
    <row r="43" spans="1:9">
      <c r="A43" s="63"/>
      <c r="B43" s="63" t="s">
        <v>230</v>
      </c>
      <c r="C43" s="63" t="s">
        <v>231</v>
      </c>
      <c r="D43" s="63" t="s">
        <v>232</v>
      </c>
      <c r="E43" s="63" t="s">
        <v>233</v>
      </c>
      <c r="F43" s="63" t="s">
        <v>234</v>
      </c>
    </row>
    <row r="44" spans="1:9">
      <c r="A44" s="61" t="s">
        <v>226</v>
      </c>
      <c r="B44" s="61">
        <v>7</v>
      </c>
      <c r="C44" s="61">
        <v>700.00000000000011</v>
      </c>
      <c r="D44" s="61">
        <v>100.00000000000001</v>
      </c>
      <c r="E44" s="61">
        <v>2.4943097311476162E+33</v>
      </c>
      <c r="F44" s="61" t="e">
        <v>#NUM!</v>
      </c>
    </row>
    <row r="45" spans="1:9">
      <c r="A45" s="61" t="s">
        <v>227</v>
      </c>
      <c r="B45" s="61">
        <v>5</v>
      </c>
      <c r="C45" s="61">
        <v>1.4031938200352017E-30</v>
      </c>
      <c r="D45" s="61">
        <v>2.8063876400704033E-31</v>
      </c>
      <c r="E45" s="61"/>
      <c r="F45" s="61"/>
    </row>
    <row r="46" spans="1:9" ht="15.75" thickBot="1">
      <c r="A46" s="62" t="s">
        <v>228</v>
      </c>
      <c r="B46" s="62">
        <v>12</v>
      </c>
      <c r="C46" s="62">
        <v>700.00000000000011</v>
      </c>
      <c r="D46" s="62"/>
      <c r="E46" s="62"/>
      <c r="F46" s="62"/>
    </row>
    <row r="47" spans="1:9" ht="15.75" thickBot="1"/>
    <row r="48" spans="1:9">
      <c r="A48" s="63"/>
      <c r="B48" s="63" t="s">
        <v>235</v>
      </c>
      <c r="C48" s="63" t="s">
        <v>223</v>
      </c>
      <c r="D48" s="63" t="s">
        <v>236</v>
      </c>
      <c r="E48" s="63" t="s">
        <v>237</v>
      </c>
      <c r="F48" s="63" t="s">
        <v>238</v>
      </c>
      <c r="G48" s="63" t="s">
        <v>239</v>
      </c>
      <c r="H48" s="63" t="s">
        <v>240</v>
      </c>
      <c r="I48" s="63" t="s">
        <v>241</v>
      </c>
    </row>
    <row r="49" spans="1:9">
      <c r="A49" s="61" t="s">
        <v>229</v>
      </c>
      <c r="B49" s="61"/>
      <c r="C49" s="61"/>
      <c r="D49" s="61"/>
      <c r="E49" s="61"/>
      <c r="F49" s="61"/>
      <c r="G49" s="61"/>
      <c r="H49" s="61">
        <v>1.0271683511983596E-286</v>
      </c>
      <c r="I49" s="61">
        <v>1.0271683511983596E-286</v>
      </c>
    </row>
    <row r="50" spans="1:9">
      <c r="A50" s="61" t="s">
        <v>242</v>
      </c>
      <c r="B50" s="61"/>
      <c r="C50" s="61"/>
      <c r="D50" s="61"/>
      <c r="E50" s="61"/>
      <c r="F50" s="61"/>
      <c r="G50" s="61"/>
      <c r="H50" s="61">
        <v>5.9939665927824249E-289</v>
      </c>
      <c r="I50" s="61">
        <v>5.9939665927824249E-289</v>
      </c>
    </row>
    <row r="51" spans="1:9">
      <c r="A51" s="61" t="s">
        <v>243</v>
      </c>
      <c r="B51" s="61"/>
      <c r="C51" s="61"/>
      <c r="D51" s="61"/>
      <c r="E51" s="61"/>
      <c r="F51" s="61"/>
      <c r="G51" s="61"/>
      <c r="H51" s="61">
        <v>-2.6404203047667264E-286</v>
      </c>
      <c r="I51" s="61">
        <v>2.6404203047667264E-286</v>
      </c>
    </row>
    <row r="52" spans="1:9">
      <c r="A52" s="61" t="s">
        <v>244</v>
      </c>
      <c r="B52" s="61">
        <v>2.0126089643538396E-242</v>
      </c>
      <c r="C52" s="61">
        <v>5.9939665927824249E-289</v>
      </c>
      <c r="D52" s="61">
        <v>3.3577246939902912E+46</v>
      </c>
      <c r="E52" s="61">
        <v>4.4471158007007782E-232</v>
      </c>
      <c r="F52" s="61">
        <v>2.0126089643538396E-242</v>
      </c>
      <c r="G52" s="61">
        <v>2.0126089643538396E-242</v>
      </c>
      <c r="H52" s="61">
        <v>2.0126089643538396E-242</v>
      </c>
      <c r="I52" s="61">
        <v>2.0126089643538396E-242</v>
      </c>
    </row>
    <row r="53" spans="1:9">
      <c r="A53" s="61" t="s">
        <v>245</v>
      </c>
      <c r="B53" s="61"/>
      <c r="C53" s="61"/>
      <c r="D53" s="61"/>
      <c r="E53" s="61"/>
      <c r="F53" s="61"/>
      <c r="G53" s="61"/>
      <c r="H53" s="61">
        <v>5.3913038961580687E-16</v>
      </c>
      <c r="I53" s="61">
        <v>5.3913038961580687E-16</v>
      </c>
    </row>
    <row r="54" spans="1:9">
      <c r="A54" s="61" t="s">
        <v>246</v>
      </c>
      <c r="B54" s="61">
        <v>2.0022800004246596E-17</v>
      </c>
      <c r="C54" s="61">
        <v>2.0126089643538396E-242</v>
      </c>
      <c r="D54" s="61">
        <v>9.9486787343586337E+224</v>
      </c>
      <c r="E54" s="61" t="e">
        <v>#NUM!</v>
      </c>
      <c r="F54" s="61">
        <v>2.0022800004246596E-17</v>
      </c>
      <c r="G54" s="61">
        <v>2.0022800004246596E-17</v>
      </c>
      <c r="H54" s="61">
        <v>2.0022800004246596E-17</v>
      </c>
      <c r="I54" s="61">
        <v>2.0022800004246596E-17</v>
      </c>
    </row>
    <row r="55" spans="1:9">
      <c r="A55" s="61" t="s">
        <v>247</v>
      </c>
      <c r="B55" s="61">
        <v>-6.456307492759823</v>
      </c>
      <c r="C55" s="61">
        <v>5.3913038961580687E-16</v>
      </c>
      <c r="D55" s="61">
        <v>-1.19754100624168E+16</v>
      </c>
      <c r="E55" s="61">
        <v>7.7064061590161471E-80</v>
      </c>
      <c r="F55" s="61">
        <v>-6.4563074927598247</v>
      </c>
      <c r="G55" s="61">
        <v>-6.4563074927598212</v>
      </c>
      <c r="H55" s="61">
        <v>-6.4563074927598247</v>
      </c>
      <c r="I55" s="61">
        <v>-6.4563074927598212</v>
      </c>
    </row>
    <row r="56" spans="1:9" ht="15.75" thickBot="1">
      <c r="A56" s="62" t="s">
        <v>248</v>
      </c>
      <c r="B56" s="62">
        <v>1</v>
      </c>
      <c r="C56" s="62">
        <v>2.0022800004246596E-17</v>
      </c>
      <c r="D56" s="62">
        <v>4.9943064895414824E+16</v>
      </c>
      <c r="E56" s="62">
        <v>6.1084061971881469E-83</v>
      </c>
      <c r="F56" s="62">
        <v>1</v>
      </c>
      <c r="G56" s="62">
        <v>1</v>
      </c>
      <c r="H56" s="62">
        <v>1</v>
      </c>
      <c r="I56" s="62">
        <v>1</v>
      </c>
    </row>
  </sheetData>
  <printOptions horizontalCentered="1" headings="1"/>
  <pageMargins left="0.7" right="0.7" top="0.75" bottom="0.75" header="0.3" footer="0.3"/>
  <pageSetup scale="9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3"/>
  <sheetViews>
    <sheetView topLeftCell="A14" workbookViewId="0">
      <selection activeCell="I22" sqref="A1:I22"/>
    </sheetView>
  </sheetViews>
  <sheetFormatPr defaultRowHeight="15"/>
  <cols>
    <col min="1" max="1" width="21.140625" bestFit="1" customWidth="1"/>
  </cols>
  <sheetData>
    <row r="1" spans="1:9" ht="15.75">
      <c r="A1" s="15" t="s">
        <v>167</v>
      </c>
      <c r="B1" s="5"/>
      <c r="C1" s="58"/>
      <c r="D1" s="58"/>
      <c r="E1" s="59"/>
      <c r="F1" s="59"/>
      <c r="G1" s="59"/>
      <c r="H1" s="59"/>
      <c r="I1" s="59"/>
    </row>
    <row r="2" spans="1:9">
      <c r="A2" t="s">
        <v>11</v>
      </c>
      <c r="B2">
        <v>105</v>
      </c>
      <c r="C2">
        <f>B2</f>
        <v>105</v>
      </c>
      <c r="D2">
        <f t="shared" ref="D2:I3" si="0">C2</f>
        <v>105</v>
      </c>
      <c r="E2">
        <f t="shared" si="0"/>
        <v>105</v>
      </c>
      <c r="F2">
        <f t="shared" si="0"/>
        <v>105</v>
      </c>
      <c r="G2">
        <f t="shared" si="0"/>
        <v>105</v>
      </c>
      <c r="H2">
        <f t="shared" si="0"/>
        <v>105</v>
      </c>
      <c r="I2">
        <f t="shared" si="0"/>
        <v>105</v>
      </c>
    </row>
    <row r="3" spans="1:9">
      <c r="A3" t="s">
        <v>45</v>
      </c>
      <c r="B3" s="57">
        <f>B23</f>
        <v>300</v>
      </c>
      <c r="C3">
        <f>B3</f>
        <v>300</v>
      </c>
      <c r="D3">
        <f t="shared" si="0"/>
        <v>300</v>
      </c>
      <c r="E3">
        <f t="shared" si="0"/>
        <v>300</v>
      </c>
      <c r="F3">
        <f t="shared" si="0"/>
        <v>300</v>
      </c>
      <c r="G3">
        <f t="shared" si="0"/>
        <v>300</v>
      </c>
      <c r="H3">
        <f t="shared" si="0"/>
        <v>300</v>
      </c>
      <c r="I3">
        <f t="shared" si="0"/>
        <v>300</v>
      </c>
    </row>
    <row r="4" spans="1:9">
      <c r="A4" t="s">
        <v>12</v>
      </c>
      <c r="B4">
        <v>210</v>
      </c>
      <c r="C4">
        <f t="shared" ref="C4:I4" si="1">B4</f>
        <v>210</v>
      </c>
      <c r="D4">
        <f t="shared" si="1"/>
        <v>210</v>
      </c>
      <c r="E4">
        <f t="shared" si="1"/>
        <v>210</v>
      </c>
      <c r="F4">
        <f t="shared" si="1"/>
        <v>210</v>
      </c>
      <c r="G4">
        <f t="shared" si="1"/>
        <v>210</v>
      </c>
      <c r="H4">
        <f t="shared" si="1"/>
        <v>210</v>
      </c>
      <c r="I4">
        <f t="shared" si="1"/>
        <v>210</v>
      </c>
    </row>
    <row r="5" spans="1:9">
      <c r="A5" t="s">
        <v>43</v>
      </c>
      <c r="B5">
        <v>20</v>
      </c>
      <c r="C5">
        <f>B5</f>
        <v>20</v>
      </c>
      <c r="D5">
        <f t="shared" ref="D5:I5" si="2">C5</f>
        <v>20</v>
      </c>
      <c r="E5">
        <f t="shared" si="2"/>
        <v>20</v>
      </c>
      <c r="F5">
        <f t="shared" si="2"/>
        <v>20</v>
      </c>
      <c r="G5">
        <f t="shared" si="2"/>
        <v>20</v>
      </c>
      <c r="H5">
        <f t="shared" si="2"/>
        <v>20</v>
      </c>
      <c r="I5">
        <f t="shared" si="2"/>
        <v>20</v>
      </c>
    </row>
    <row r="6" spans="1:9">
      <c r="A6" t="s">
        <v>44</v>
      </c>
      <c r="B6" s="2">
        <v>1</v>
      </c>
      <c r="C6">
        <v>5</v>
      </c>
      <c r="D6">
        <f>C6+5</f>
        <v>10</v>
      </c>
      <c r="E6">
        <f t="shared" ref="E6:I6" si="3">D6+5</f>
        <v>15</v>
      </c>
      <c r="F6">
        <f t="shared" si="3"/>
        <v>20</v>
      </c>
      <c r="G6">
        <f t="shared" si="3"/>
        <v>25</v>
      </c>
      <c r="H6">
        <f t="shared" si="3"/>
        <v>30</v>
      </c>
      <c r="I6">
        <f t="shared" si="3"/>
        <v>35</v>
      </c>
    </row>
    <row r="7" spans="1:9">
      <c r="A7" t="s">
        <v>13</v>
      </c>
      <c r="B7" s="1">
        <f>MAX(NORMINV((B2/(B2+B3)),B5,B6),0)</f>
        <v>19.354369250724019</v>
      </c>
      <c r="C7" s="1">
        <f t="shared" ref="C7:I7" si="4">MAX(NORMINV((C2/(C2+C3)),C5,C6),0)</f>
        <v>16.77184625362009</v>
      </c>
      <c r="D7" s="1">
        <f t="shared" si="4"/>
        <v>13.543692507240179</v>
      </c>
      <c r="E7" s="1">
        <f t="shared" si="4"/>
        <v>10.315538760860269</v>
      </c>
      <c r="F7" s="1">
        <f t="shared" si="4"/>
        <v>7.0873850144803576</v>
      </c>
      <c r="G7" s="1">
        <f t="shared" si="4"/>
        <v>3.8592312681004479</v>
      </c>
      <c r="H7" s="1">
        <f t="shared" si="4"/>
        <v>0.63107752172053821</v>
      </c>
      <c r="I7" s="1">
        <f t="shared" si="4"/>
        <v>0</v>
      </c>
    </row>
    <row r="8" spans="1:9">
      <c r="A8" t="s">
        <v>165</v>
      </c>
      <c r="B8" s="2">
        <f>B4+B7</f>
        <v>229.35436925072401</v>
      </c>
      <c r="C8" s="2">
        <f t="shared" ref="C8:I8" si="5">C4+C7</f>
        <v>226.77184625362008</v>
      </c>
      <c r="D8" s="2">
        <f t="shared" si="5"/>
        <v>223.54369250724017</v>
      </c>
      <c r="E8" s="2">
        <f t="shared" si="5"/>
        <v>220.31553876086028</v>
      </c>
      <c r="F8" s="2">
        <f t="shared" si="5"/>
        <v>217.08738501448036</v>
      </c>
      <c r="G8" s="2">
        <f t="shared" si="5"/>
        <v>213.85923126810044</v>
      </c>
      <c r="H8" s="2">
        <f t="shared" si="5"/>
        <v>210.63107752172053</v>
      </c>
      <c r="I8" s="2">
        <f t="shared" si="5"/>
        <v>210</v>
      </c>
    </row>
    <row r="9" spans="1:9">
      <c r="A9" t="s">
        <v>13</v>
      </c>
      <c r="B9" s="1" t="s">
        <v>168</v>
      </c>
    </row>
    <row r="23" spans="1:2">
      <c r="A23" t="s">
        <v>45</v>
      </c>
      <c r="B23" s="57">
        <v>300</v>
      </c>
    </row>
  </sheetData>
  <printOptions horizontalCentered="1" headings="1"/>
  <pageMargins left="0.7" right="0.7" top="0.75" bottom="0.75" header="0.3" footer="0.3"/>
  <pageSetup scale="90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sqref="A1:I27"/>
    </sheetView>
  </sheetViews>
  <sheetFormatPr defaultRowHeight="15"/>
  <cols>
    <col min="1" max="1" width="21.140625" bestFit="1" customWidth="1"/>
  </cols>
  <sheetData>
    <row r="1" spans="1:9" ht="15.75">
      <c r="A1" s="15" t="s">
        <v>167</v>
      </c>
      <c r="B1" s="5"/>
      <c r="C1" s="58"/>
      <c r="D1" s="58"/>
      <c r="E1" s="59"/>
      <c r="F1" s="59"/>
      <c r="G1" s="59"/>
      <c r="H1" s="59"/>
      <c r="I1" s="59"/>
    </row>
    <row r="2" spans="1:9">
      <c r="A2" t="s">
        <v>11</v>
      </c>
      <c r="B2">
        <v>105</v>
      </c>
      <c r="C2">
        <f>B2</f>
        <v>105</v>
      </c>
      <c r="D2">
        <f t="shared" ref="D2:I2" si="0">C2</f>
        <v>105</v>
      </c>
      <c r="E2">
        <f t="shared" si="0"/>
        <v>105</v>
      </c>
      <c r="F2">
        <f t="shared" si="0"/>
        <v>105</v>
      </c>
      <c r="G2">
        <f t="shared" si="0"/>
        <v>105</v>
      </c>
      <c r="H2">
        <f t="shared" si="0"/>
        <v>105</v>
      </c>
      <c r="I2">
        <f t="shared" si="0"/>
        <v>105</v>
      </c>
    </row>
    <row r="3" spans="1:9">
      <c r="A3" t="s">
        <v>45</v>
      </c>
      <c r="B3" s="57">
        <v>200</v>
      </c>
      <c r="C3">
        <f>B3+100</f>
        <v>300</v>
      </c>
      <c r="D3">
        <f t="shared" ref="D3:I3" si="1">C3+100</f>
        <v>400</v>
      </c>
      <c r="E3">
        <f t="shared" si="1"/>
        <v>500</v>
      </c>
      <c r="F3">
        <f t="shared" si="1"/>
        <v>600</v>
      </c>
      <c r="G3">
        <f t="shared" si="1"/>
        <v>700</v>
      </c>
      <c r="H3">
        <f t="shared" si="1"/>
        <v>800</v>
      </c>
      <c r="I3">
        <f t="shared" si="1"/>
        <v>900</v>
      </c>
    </row>
    <row r="4" spans="1:9">
      <c r="A4" t="s">
        <v>12</v>
      </c>
      <c r="B4">
        <v>210</v>
      </c>
      <c r="C4">
        <f t="shared" ref="C4:I6" si="2">B4</f>
        <v>210</v>
      </c>
      <c r="D4">
        <f t="shared" si="2"/>
        <v>210</v>
      </c>
      <c r="E4">
        <f t="shared" si="2"/>
        <v>210</v>
      </c>
      <c r="F4">
        <f t="shared" si="2"/>
        <v>210</v>
      </c>
      <c r="G4">
        <f t="shared" si="2"/>
        <v>210</v>
      </c>
      <c r="H4">
        <f t="shared" si="2"/>
        <v>210</v>
      </c>
      <c r="I4">
        <f t="shared" si="2"/>
        <v>210</v>
      </c>
    </row>
    <row r="5" spans="1:9">
      <c r="A5" t="s">
        <v>43</v>
      </c>
      <c r="B5">
        <v>20</v>
      </c>
      <c r="C5">
        <f t="shared" si="2"/>
        <v>20</v>
      </c>
      <c r="D5">
        <f t="shared" si="2"/>
        <v>20</v>
      </c>
      <c r="E5">
        <f t="shared" si="2"/>
        <v>20</v>
      </c>
      <c r="F5">
        <f t="shared" si="2"/>
        <v>20</v>
      </c>
      <c r="G5">
        <f t="shared" si="2"/>
        <v>20</v>
      </c>
      <c r="H5">
        <f t="shared" si="2"/>
        <v>20</v>
      </c>
      <c r="I5">
        <f t="shared" si="2"/>
        <v>20</v>
      </c>
    </row>
    <row r="6" spans="1:9">
      <c r="A6" t="s">
        <v>44</v>
      </c>
      <c r="B6" s="2">
        <v>10</v>
      </c>
      <c r="C6">
        <f t="shared" si="2"/>
        <v>10</v>
      </c>
      <c r="D6">
        <f t="shared" si="2"/>
        <v>10</v>
      </c>
      <c r="E6">
        <f t="shared" si="2"/>
        <v>10</v>
      </c>
      <c r="F6">
        <f t="shared" si="2"/>
        <v>10</v>
      </c>
      <c r="G6">
        <f t="shared" si="2"/>
        <v>10</v>
      </c>
      <c r="H6">
        <f t="shared" si="2"/>
        <v>10</v>
      </c>
      <c r="I6">
        <f t="shared" si="2"/>
        <v>10</v>
      </c>
    </row>
    <row r="7" spans="1:9">
      <c r="A7" t="s">
        <v>13</v>
      </c>
      <c r="B7" s="1">
        <f>NORMINV((B2/(B2+B3)),B5,B6)</f>
        <v>15.991418865080771</v>
      </c>
      <c r="C7" s="1">
        <f t="shared" ref="C7:I7" si="3">NORMINV((C2/(C2+C3)),C5,C6)</f>
        <v>13.543692507240179</v>
      </c>
      <c r="D7" s="1">
        <f t="shared" si="3"/>
        <v>11.863431918848065</v>
      </c>
      <c r="E7" s="1">
        <f t="shared" si="3"/>
        <v>10.597852902503979</v>
      </c>
      <c r="F7" s="1">
        <f t="shared" si="3"/>
        <v>9.589930882438825</v>
      </c>
      <c r="G7" s="1">
        <f t="shared" si="3"/>
        <v>8.756617684313607</v>
      </c>
      <c r="H7" s="1">
        <f t="shared" si="3"/>
        <v>8.0489036719358573</v>
      </c>
      <c r="I7" s="1">
        <f t="shared" si="3"/>
        <v>7.4355651470973605</v>
      </c>
    </row>
    <row r="8" spans="1:9">
      <c r="A8" t="s">
        <v>165</v>
      </c>
      <c r="B8" s="2">
        <f>B4+B7</f>
        <v>225.99141886508076</v>
      </c>
      <c r="C8" s="2">
        <f t="shared" ref="C8:I8" si="4">C4+C7</f>
        <v>223.54369250724017</v>
      </c>
      <c r="D8" s="2">
        <f t="shared" si="4"/>
        <v>221.86343191884805</v>
      </c>
      <c r="E8" s="2">
        <f t="shared" si="4"/>
        <v>220.59785290250397</v>
      </c>
      <c r="F8" s="2">
        <f t="shared" si="4"/>
        <v>219.58993088243884</v>
      </c>
      <c r="G8" s="2">
        <f t="shared" si="4"/>
        <v>218.7566176843136</v>
      </c>
      <c r="H8" s="2">
        <f t="shared" si="4"/>
        <v>218.04890367193585</v>
      </c>
      <c r="I8" s="2">
        <f t="shared" si="4"/>
        <v>217.43556514709735</v>
      </c>
    </row>
    <row r="9" spans="1:9">
      <c r="A9" t="s">
        <v>13</v>
      </c>
      <c r="B9" s="1" t="s">
        <v>166</v>
      </c>
    </row>
  </sheetData>
  <printOptions horizontalCentered="1" headings="1"/>
  <pageMargins left="0.7" right="0.7" top="0.75" bottom="0.75" header="0.3" footer="0.3"/>
  <pageSetup scale="9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L7" sqref="L7"/>
    </sheetView>
  </sheetViews>
  <sheetFormatPr defaultRowHeight="15"/>
  <cols>
    <col min="1" max="1" width="26.7109375" bestFit="1" customWidth="1"/>
    <col min="3" max="3" width="12.28515625" bestFit="1" customWidth="1"/>
  </cols>
  <sheetData>
    <row r="1" spans="1:6" ht="15.75">
      <c r="A1" s="16" t="s">
        <v>46</v>
      </c>
      <c r="B1" s="17"/>
      <c r="C1" s="18"/>
      <c r="D1" s="17"/>
      <c r="E1" s="17"/>
      <c r="F1" s="17"/>
    </row>
    <row r="2" spans="1:6">
      <c r="A2" s="17" t="s">
        <v>47</v>
      </c>
      <c r="C2" s="19" t="s">
        <v>209</v>
      </c>
      <c r="D2" s="17" t="s">
        <v>2</v>
      </c>
      <c r="E2" s="17"/>
      <c r="F2" s="17"/>
    </row>
    <row r="3" spans="1:6">
      <c r="A3" s="17" t="s">
        <v>140</v>
      </c>
      <c r="B3" s="17" t="s">
        <v>48</v>
      </c>
      <c r="C3" s="20">
        <v>50</v>
      </c>
      <c r="D3" s="21" t="s">
        <v>2</v>
      </c>
      <c r="E3" s="17"/>
      <c r="F3" s="17"/>
    </row>
    <row r="4" spans="1:6">
      <c r="A4" s="17" t="s">
        <v>141</v>
      </c>
      <c r="B4" s="17" t="s">
        <v>49</v>
      </c>
      <c r="C4" s="17">
        <v>100</v>
      </c>
      <c r="D4" s="21" t="s">
        <v>2</v>
      </c>
      <c r="E4" s="17"/>
      <c r="F4" s="17"/>
    </row>
    <row r="5" spans="1:6">
      <c r="A5" s="17" t="s">
        <v>50</v>
      </c>
      <c r="B5" s="22" t="s">
        <v>51</v>
      </c>
      <c r="C5" s="22">
        <v>0.04</v>
      </c>
      <c r="D5" s="21"/>
      <c r="E5" s="17"/>
      <c r="F5" s="17"/>
    </row>
    <row r="6" spans="1:6">
      <c r="A6" s="17" t="s">
        <v>52</v>
      </c>
      <c r="B6" s="22" t="s">
        <v>53</v>
      </c>
      <c r="C6" s="22">
        <v>0.04</v>
      </c>
      <c r="D6" s="23"/>
      <c r="E6" s="17"/>
      <c r="F6" s="17"/>
    </row>
    <row r="7" spans="1:6">
      <c r="A7" s="17" t="s">
        <v>54</v>
      </c>
      <c r="B7" s="22" t="s">
        <v>55</v>
      </c>
      <c r="C7" s="24">
        <v>0.2</v>
      </c>
      <c r="D7" s="23"/>
      <c r="E7" s="17"/>
      <c r="F7" s="17"/>
    </row>
    <row r="8" spans="1:6">
      <c r="A8" s="17" t="s">
        <v>56</v>
      </c>
      <c r="B8" s="22" t="s">
        <v>57</v>
      </c>
      <c r="C8" s="24">
        <v>0.2</v>
      </c>
      <c r="D8" s="23"/>
      <c r="E8" s="17"/>
      <c r="F8" s="17"/>
    </row>
    <row r="9" spans="1:6">
      <c r="A9" s="17" t="s">
        <v>58</v>
      </c>
      <c r="B9" s="22" t="s">
        <v>59</v>
      </c>
      <c r="C9" s="24">
        <v>0.5</v>
      </c>
      <c r="D9" s="23"/>
      <c r="E9" s="17"/>
      <c r="F9" s="17"/>
    </row>
    <row r="10" spans="1:6">
      <c r="A10" s="17" t="s">
        <v>60</v>
      </c>
      <c r="B10" s="22" t="s">
        <v>61</v>
      </c>
      <c r="C10" s="22">
        <v>0.05</v>
      </c>
      <c r="D10" s="23"/>
      <c r="E10" s="17"/>
      <c r="F10" s="17"/>
    </row>
    <row r="11" spans="1:6">
      <c r="A11" s="17" t="s">
        <v>62</v>
      </c>
      <c r="B11" s="22" t="s">
        <v>63</v>
      </c>
      <c r="C11" s="25">
        <v>10</v>
      </c>
      <c r="D11" s="23"/>
      <c r="E11" s="17"/>
      <c r="F11" s="17"/>
    </row>
    <row r="12" spans="1:6">
      <c r="A12" s="17" t="s">
        <v>64</v>
      </c>
      <c r="B12" s="22" t="s">
        <v>65</v>
      </c>
      <c r="C12" s="25">
        <v>70</v>
      </c>
      <c r="D12" s="23"/>
      <c r="E12" s="17"/>
      <c r="F12" s="17"/>
    </row>
    <row r="13" spans="1:6">
      <c r="A13" s="17" t="s">
        <v>66</v>
      </c>
      <c r="B13" s="22" t="s">
        <v>67</v>
      </c>
      <c r="C13" s="23">
        <v>300</v>
      </c>
      <c r="D13" s="23"/>
      <c r="E13" s="17"/>
      <c r="F13" s="17"/>
    </row>
    <row r="14" spans="1:6">
      <c r="A14" s="17" t="s">
        <v>2</v>
      </c>
      <c r="B14" s="22" t="s">
        <v>2</v>
      </c>
      <c r="C14" s="23" t="s">
        <v>2</v>
      </c>
      <c r="D14" s="23"/>
      <c r="E14" s="17"/>
      <c r="F14" s="17"/>
    </row>
    <row r="15" spans="1:6">
      <c r="A15" s="17" t="s">
        <v>70</v>
      </c>
      <c r="B15" s="17" t="s">
        <v>71</v>
      </c>
      <c r="C15" s="26">
        <f>(C3/C5-C11/C10)</f>
        <v>1050</v>
      </c>
      <c r="D15" s="23" t="s">
        <v>2</v>
      </c>
      <c r="E15" s="17"/>
      <c r="F15" s="17"/>
    </row>
    <row r="16" spans="1:6">
      <c r="A16" s="17" t="s">
        <v>72</v>
      </c>
      <c r="B16" s="17" t="s">
        <v>73</v>
      </c>
      <c r="C16" s="26">
        <f>(C4/C6-C12/C10)</f>
        <v>1100</v>
      </c>
      <c r="D16" s="23" t="s">
        <v>2</v>
      </c>
      <c r="E16" s="17"/>
      <c r="F16" s="17"/>
    </row>
    <row r="17" spans="1:6">
      <c r="A17" s="17" t="s">
        <v>74</v>
      </c>
      <c r="B17" s="22" t="s">
        <v>75</v>
      </c>
      <c r="C17" s="27">
        <f>C3</f>
        <v>50</v>
      </c>
      <c r="D17" s="23"/>
      <c r="E17" s="17"/>
      <c r="F17" s="17"/>
    </row>
    <row r="18" spans="1:6">
      <c r="A18" s="17" t="s">
        <v>2</v>
      </c>
      <c r="B18" s="22" t="s">
        <v>2</v>
      </c>
      <c r="C18" s="27" t="s">
        <v>2</v>
      </c>
      <c r="D18" s="23"/>
      <c r="E18" s="17"/>
      <c r="F18" s="17"/>
    </row>
    <row r="19" spans="1:6">
      <c r="A19" s="17"/>
      <c r="B19" s="17" t="s">
        <v>76</v>
      </c>
      <c r="C19" s="17"/>
      <c r="D19" s="17" t="s">
        <v>77</v>
      </c>
      <c r="E19" s="17"/>
      <c r="F19" s="17"/>
    </row>
    <row r="20" spans="1:6">
      <c r="A20" s="17" t="s">
        <v>78</v>
      </c>
      <c r="B20" s="28" t="s">
        <v>79</v>
      </c>
      <c r="C20" s="29">
        <f>C3/C5-C11/C10+C22*C3^C24*C4^C25</f>
        <v>1622.2171148982545</v>
      </c>
      <c r="D20" s="29">
        <f>C20-C15</f>
        <v>572.21711489825452</v>
      </c>
      <c r="E20" s="17"/>
      <c r="F20" s="17"/>
    </row>
    <row r="21" spans="1:6">
      <c r="A21" s="17" t="s">
        <v>80</v>
      </c>
      <c r="B21" s="28" t="s">
        <v>81</v>
      </c>
      <c r="C21" s="29">
        <f>C4/C6-C12/C10</f>
        <v>1100</v>
      </c>
      <c r="D21" s="26">
        <f>C21-C16</f>
        <v>0</v>
      </c>
      <c r="E21" s="17"/>
      <c r="F21" s="17"/>
    </row>
    <row r="22" spans="1:6">
      <c r="A22" s="17"/>
      <c r="B22" s="28" t="s">
        <v>82</v>
      </c>
      <c r="C22" s="30">
        <v>0.34738298712117754</v>
      </c>
      <c r="D22" s="31"/>
      <c r="E22" s="17"/>
      <c r="F22" s="17"/>
    </row>
    <row r="23" spans="1:6">
      <c r="A23" s="17" t="s">
        <v>74</v>
      </c>
      <c r="B23" s="32" t="s">
        <v>83</v>
      </c>
      <c r="C23" s="33">
        <v>220.99342076826159</v>
      </c>
      <c r="D23" s="21"/>
      <c r="E23" s="17"/>
      <c r="F23" s="17"/>
    </row>
    <row r="24" spans="1:6">
      <c r="A24" s="17" t="s">
        <v>84</v>
      </c>
      <c r="B24" s="32" t="s">
        <v>85</v>
      </c>
      <c r="C24" s="34">
        <v>-0.45047715129446736</v>
      </c>
      <c r="D24" s="35" t="s">
        <v>86</v>
      </c>
      <c r="E24" s="17"/>
      <c r="F24" s="17"/>
    </row>
    <row r="25" spans="1:6">
      <c r="A25" s="17" t="s">
        <v>84</v>
      </c>
      <c r="B25" s="32" t="s">
        <v>87</v>
      </c>
      <c r="C25" s="34">
        <v>1.9910497328491659</v>
      </c>
      <c r="D25" s="35" t="s">
        <v>88</v>
      </c>
      <c r="E25" s="17"/>
      <c r="F25" s="17"/>
    </row>
    <row r="26" spans="1:6">
      <c r="A26" s="17"/>
      <c r="B26" s="17" t="s">
        <v>89</v>
      </c>
      <c r="C26" s="36"/>
      <c r="D26" s="26"/>
      <c r="E26" s="17"/>
      <c r="F26" s="17"/>
    </row>
    <row r="27" spans="1:6">
      <c r="A27" s="17" t="s">
        <v>90</v>
      </c>
      <c r="B27" s="28" t="s">
        <v>127</v>
      </c>
      <c r="C27" s="37">
        <f>(C22*C17^C24*C23^C25+C17/C5-C11/C10-C23/C6+C12/C10+C13)</f>
        <v>8.2795850175898522E-9</v>
      </c>
      <c r="D27" s="26"/>
      <c r="E27" s="17"/>
      <c r="F27" s="17"/>
    </row>
    <row r="28" spans="1:6">
      <c r="A28" s="17" t="s">
        <v>91</v>
      </c>
      <c r="B28" s="28" t="s">
        <v>128</v>
      </c>
      <c r="C28" s="37">
        <f>(C24*C22*C17^(C24-1)*C23^C25+1/C5)</f>
        <v>-1.31922917034899E-10</v>
      </c>
      <c r="D28" s="26"/>
      <c r="E28" s="17"/>
      <c r="F28" s="17"/>
    </row>
    <row r="29" spans="1:6">
      <c r="A29" s="17" t="s">
        <v>92</v>
      </c>
      <c r="B29" s="28" t="s">
        <v>213</v>
      </c>
      <c r="C29" s="37">
        <f>(C25*C22*C17^C24*C23^(C25-1)-1/C6)</f>
        <v>1.1991829751423211E-10</v>
      </c>
      <c r="D29" s="26"/>
      <c r="E29" s="17"/>
      <c r="F29" s="17"/>
    </row>
    <row r="30" spans="1:6">
      <c r="A30" s="17" t="s">
        <v>93</v>
      </c>
      <c r="B30" s="28" t="s">
        <v>214</v>
      </c>
      <c r="C30" s="37">
        <f>0.5*C7^2*C24*(C24-1)+0.5*C8^2*C25*(C25-1)+C9*C7*C8*C24*C25+C24*(C10-C5)+C25*(C10-C6)-C10</f>
        <v>5.2319260035460502E-15</v>
      </c>
      <c r="D30" s="26"/>
      <c r="E30" s="17"/>
      <c r="F30" s="17"/>
    </row>
    <row r="31" spans="1:6">
      <c r="A31" s="17"/>
      <c r="B31" s="17" t="s">
        <v>94</v>
      </c>
      <c r="C31" s="38">
        <f t="array" ref="C31">SUM(ABS(C27:C30))</f>
        <v>8.5314314640649869E-9</v>
      </c>
      <c r="D31" s="39" t="s">
        <v>2</v>
      </c>
      <c r="E31" s="17"/>
      <c r="F31" s="17"/>
    </row>
    <row r="32" spans="1:6">
      <c r="B32" s="28" t="s">
        <v>95</v>
      </c>
    </row>
    <row r="33" spans="1:4">
      <c r="A33" s="28" t="str">
        <f>B27</f>
        <v>EQ 15</v>
      </c>
      <c r="B33" s="37" t="s">
        <v>96</v>
      </c>
    </row>
    <row r="34" spans="1:4">
      <c r="A34" s="28" t="str">
        <f>B28</f>
        <v>EQ 16</v>
      </c>
      <c r="B34" s="37" t="s">
        <v>97</v>
      </c>
    </row>
    <row r="35" spans="1:4">
      <c r="A35" s="28" t="str">
        <f>B29</f>
        <v>EQ 17</v>
      </c>
      <c r="B35" s="37" t="s">
        <v>98</v>
      </c>
    </row>
    <row r="36" spans="1:4">
      <c r="A36" s="28" t="str">
        <f>B30</f>
        <v>EQ 18</v>
      </c>
      <c r="B36" s="40" t="s">
        <v>99</v>
      </c>
    </row>
    <row r="37" spans="1:4">
      <c r="A37" s="28" t="s">
        <v>100</v>
      </c>
      <c r="C37" s="41">
        <f>C23-C4</f>
        <v>120.99342076826159</v>
      </c>
    </row>
    <row r="38" spans="1:4">
      <c r="A38" s="28" t="s">
        <v>101</v>
      </c>
      <c r="B38" s="29" t="s">
        <v>102</v>
      </c>
    </row>
    <row r="39" spans="1:4">
      <c r="A39" s="28" t="s">
        <v>103</v>
      </c>
      <c r="B39" s="29" t="s">
        <v>104</v>
      </c>
    </row>
    <row r="41" spans="1:4">
      <c r="B41" s="42" t="s">
        <v>105</v>
      </c>
      <c r="C41" s="43"/>
      <c r="D41" s="44"/>
    </row>
    <row r="42" spans="1:4">
      <c r="B42" s="45" t="s">
        <v>106</v>
      </c>
      <c r="C42" s="46">
        <f>-C25*C17/C24</f>
        <v>220.99342076815554</v>
      </c>
      <c r="D42" s="47"/>
    </row>
    <row r="43" spans="1:4">
      <c r="B43" s="48"/>
      <c r="C43" s="49" t="s">
        <v>107</v>
      </c>
      <c r="D43" s="50"/>
    </row>
    <row r="44" spans="1:4">
      <c r="B44" s="71" t="s">
        <v>82</v>
      </c>
      <c r="C44" s="72">
        <f>(-1/C5)/(C24*(C17^(C24-1))*(C42^C25))</f>
        <v>0.34738298711967702</v>
      </c>
      <c r="D44" s="73"/>
    </row>
    <row r="45" spans="1:4">
      <c r="B45" s="77" t="s">
        <v>256</v>
      </c>
      <c r="C45" s="74"/>
      <c r="D45" s="75"/>
    </row>
    <row r="46" spans="1:4">
      <c r="B46" s="67" t="s">
        <v>255</v>
      </c>
      <c r="C46" s="68">
        <f>C44*C3^C24*C4^C25</f>
        <v>572.21711489578286</v>
      </c>
      <c r="D46" s="75"/>
    </row>
    <row r="47" spans="1:4">
      <c r="B47" s="69"/>
      <c r="C47" s="70" t="s">
        <v>257</v>
      </c>
      <c r="D47" s="76"/>
    </row>
  </sheetData>
  <printOptions horizontalCentered="1" headings="1"/>
  <pageMargins left="0.7" right="0.7" top="0.75" bottom="0.75" header="0.3" footer="0.3"/>
  <pageSetup scale="95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A3" sqref="A3"/>
    </sheetView>
  </sheetViews>
  <sheetFormatPr defaultRowHeight="15"/>
  <cols>
    <col min="1" max="1" width="17.7109375" customWidth="1"/>
  </cols>
  <sheetData>
    <row r="1" spans="1:3">
      <c r="A1" s="7" t="s">
        <v>198</v>
      </c>
      <c r="B1" s="7" t="s">
        <v>159</v>
      </c>
      <c r="C1" s="7" t="s">
        <v>160</v>
      </c>
    </row>
    <row r="2" spans="1:3">
      <c r="A2" s="4" t="s">
        <v>161</v>
      </c>
      <c r="B2" s="2">
        <f>MAX(MIN(NORMINV(B3,B4,B5),B6),0)</f>
        <v>65.93196819821874</v>
      </c>
      <c r="C2" s="2">
        <f t="shared" ref="C2" si="0">MAX(MIN(NORMINV(C3,C4,C5),C6),0)</f>
        <v>71.536364964772872</v>
      </c>
    </row>
    <row r="3" spans="1:3">
      <c r="A3" t="s">
        <v>151</v>
      </c>
      <c r="B3" s="1">
        <f>B7</f>
        <v>0.625</v>
      </c>
      <c r="C3" s="1">
        <f t="shared" ref="C3" si="1">C7</f>
        <v>0.66666666666666663</v>
      </c>
    </row>
    <row r="4" spans="1:3">
      <c r="A4" t="s">
        <v>152</v>
      </c>
      <c r="B4">
        <v>50</v>
      </c>
      <c r="C4">
        <f>B4</f>
        <v>50</v>
      </c>
    </row>
    <row r="5" spans="1:3">
      <c r="A5" t="s">
        <v>153</v>
      </c>
      <c r="B5">
        <v>50</v>
      </c>
      <c r="C5">
        <v>50</v>
      </c>
    </row>
    <row r="6" spans="1:3">
      <c r="A6" t="s">
        <v>155</v>
      </c>
      <c r="B6">
        <v>100</v>
      </c>
      <c r="C6">
        <v>100</v>
      </c>
    </row>
    <row r="7" spans="1:3">
      <c r="A7" t="s">
        <v>9</v>
      </c>
      <c r="B7" s="1">
        <f t="shared" ref="B7:C7" si="2">B8/B9</f>
        <v>0.625</v>
      </c>
      <c r="C7" s="1">
        <f t="shared" si="2"/>
        <v>0.66666666666666663</v>
      </c>
    </row>
    <row r="8" spans="1:3">
      <c r="A8" t="s">
        <v>4</v>
      </c>
      <c r="B8">
        <v>500</v>
      </c>
      <c r="C8">
        <f>B8</f>
        <v>500</v>
      </c>
    </row>
    <row r="9" spans="1:3">
      <c r="A9" t="s">
        <v>5</v>
      </c>
      <c r="B9">
        <v>800</v>
      </c>
      <c r="C9">
        <v>750</v>
      </c>
    </row>
    <row r="11" spans="1:3">
      <c r="A11" s="4" t="str">
        <f>A2</f>
        <v>Booking Limit</v>
      </c>
      <c r="B11" s="56" t="s">
        <v>157</v>
      </c>
    </row>
    <row r="12" spans="1:3">
      <c r="A12" t="s">
        <v>215</v>
      </c>
      <c r="B12">
        <f>200*B7-60</f>
        <v>65</v>
      </c>
      <c r="C12" s="2">
        <f t="shared" ref="C12" si="3">200*C7-60</f>
        <v>73.333333333333314</v>
      </c>
    </row>
    <row r="13" spans="1:3">
      <c r="B13" t="s">
        <v>216</v>
      </c>
    </row>
    <row r="30" spans="1:2">
      <c r="A30" t="s">
        <v>153</v>
      </c>
      <c r="B30">
        <v>150</v>
      </c>
    </row>
    <row r="31" spans="1:2">
      <c r="A31" t="s">
        <v>156</v>
      </c>
      <c r="B31" s="2" t="s">
        <v>157</v>
      </c>
    </row>
  </sheetData>
  <printOptions horizontalCentered="1" headings="1"/>
  <pageMargins left="0.7" right="0.7" top="0.75" bottom="0.75" header="0.3" footer="0.3"/>
  <pageSetup scale="11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sqref="A1:I11"/>
    </sheetView>
  </sheetViews>
  <sheetFormatPr defaultRowHeight="15"/>
  <cols>
    <col min="1" max="1" width="21.140625" bestFit="1" customWidth="1"/>
  </cols>
  <sheetData>
    <row r="1" spans="1:9" ht="15.75">
      <c r="A1" s="15" t="s">
        <v>167</v>
      </c>
      <c r="B1" s="5"/>
      <c r="C1" s="58"/>
      <c r="D1" s="58"/>
      <c r="E1" s="59"/>
      <c r="F1" s="59"/>
      <c r="G1" s="59"/>
      <c r="H1" s="59"/>
      <c r="I1" s="59"/>
    </row>
    <row r="2" spans="1:9">
      <c r="A2" t="s">
        <v>11</v>
      </c>
      <c r="B2">
        <v>300</v>
      </c>
      <c r="C2">
        <f>B2</f>
        <v>300</v>
      </c>
      <c r="D2">
        <f t="shared" ref="D2:I3" si="0">C2</f>
        <v>300</v>
      </c>
      <c r="E2">
        <f t="shared" si="0"/>
        <v>300</v>
      </c>
      <c r="F2">
        <f t="shared" si="0"/>
        <v>300</v>
      </c>
      <c r="G2">
        <f t="shared" si="0"/>
        <v>300</v>
      </c>
      <c r="H2">
        <f t="shared" si="0"/>
        <v>300</v>
      </c>
      <c r="I2">
        <f t="shared" si="0"/>
        <v>300</v>
      </c>
    </row>
    <row r="3" spans="1:9">
      <c r="A3" t="s">
        <v>45</v>
      </c>
      <c r="B3" s="57">
        <v>700</v>
      </c>
      <c r="C3">
        <f>B3</f>
        <v>700</v>
      </c>
      <c r="D3">
        <f t="shared" si="0"/>
        <v>700</v>
      </c>
      <c r="E3">
        <f t="shared" si="0"/>
        <v>700</v>
      </c>
      <c r="F3">
        <f t="shared" si="0"/>
        <v>700</v>
      </c>
      <c r="G3">
        <f t="shared" si="0"/>
        <v>700</v>
      </c>
      <c r="H3">
        <f t="shared" si="0"/>
        <v>700</v>
      </c>
      <c r="I3">
        <f t="shared" si="0"/>
        <v>700</v>
      </c>
    </row>
    <row r="4" spans="1:9">
      <c r="A4" t="s">
        <v>12</v>
      </c>
      <c r="B4">
        <v>200</v>
      </c>
      <c r="C4">
        <f t="shared" ref="C4:I6" si="1">B4</f>
        <v>200</v>
      </c>
      <c r="D4">
        <f t="shared" si="1"/>
        <v>200</v>
      </c>
      <c r="E4">
        <f t="shared" si="1"/>
        <v>200</v>
      </c>
      <c r="F4">
        <f t="shared" si="1"/>
        <v>200</v>
      </c>
      <c r="G4">
        <f t="shared" si="1"/>
        <v>200</v>
      </c>
      <c r="H4">
        <f t="shared" si="1"/>
        <v>200</v>
      </c>
      <c r="I4">
        <f t="shared" si="1"/>
        <v>200</v>
      </c>
    </row>
    <row r="5" spans="1:9">
      <c r="A5" t="s">
        <v>43</v>
      </c>
      <c r="B5">
        <v>5</v>
      </c>
      <c r="C5">
        <f>B5+5</f>
        <v>10</v>
      </c>
      <c r="D5">
        <f t="shared" ref="D5:I5" si="2">C5+5</f>
        <v>15</v>
      </c>
      <c r="E5">
        <f t="shared" si="2"/>
        <v>20</v>
      </c>
      <c r="F5">
        <f t="shared" si="2"/>
        <v>25</v>
      </c>
      <c r="G5">
        <f t="shared" si="2"/>
        <v>30</v>
      </c>
      <c r="H5">
        <f t="shared" si="2"/>
        <v>35</v>
      </c>
      <c r="I5">
        <f t="shared" si="2"/>
        <v>40</v>
      </c>
    </row>
    <row r="6" spans="1:9">
      <c r="A6" t="s">
        <v>44</v>
      </c>
      <c r="B6" s="2">
        <v>10</v>
      </c>
      <c r="C6">
        <f t="shared" si="1"/>
        <v>10</v>
      </c>
      <c r="D6">
        <f t="shared" si="1"/>
        <v>10</v>
      </c>
      <c r="E6">
        <f t="shared" si="1"/>
        <v>10</v>
      </c>
      <c r="F6">
        <f t="shared" si="1"/>
        <v>10</v>
      </c>
      <c r="G6">
        <f t="shared" si="1"/>
        <v>10</v>
      </c>
      <c r="H6">
        <f t="shared" si="1"/>
        <v>10</v>
      </c>
      <c r="I6">
        <f t="shared" si="1"/>
        <v>10</v>
      </c>
    </row>
    <row r="7" spans="1:9">
      <c r="A7" t="s">
        <v>252</v>
      </c>
      <c r="B7" s="1">
        <f>MAX(NORMINV((B2/(B2+B3)),B5,B6),0)</f>
        <v>0</v>
      </c>
      <c r="C7" s="1">
        <f t="shared" ref="C7:I7" si="3">MAX(NORMINV((C2/(C2+C3)),C5,C6),0)</f>
        <v>4.7559948729195911</v>
      </c>
      <c r="D7" s="1">
        <f t="shared" si="3"/>
        <v>9.7559948729195902</v>
      </c>
      <c r="E7" s="1">
        <f t="shared" si="3"/>
        <v>14.75599487291959</v>
      </c>
      <c r="F7" s="1">
        <f t="shared" si="3"/>
        <v>19.75599487291959</v>
      </c>
      <c r="G7" s="1">
        <f t="shared" si="3"/>
        <v>24.75599487291959</v>
      </c>
      <c r="H7" s="1">
        <f t="shared" si="3"/>
        <v>29.75599487291959</v>
      </c>
      <c r="I7" s="1">
        <f t="shared" si="3"/>
        <v>34.755994872919594</v>
      </c>
    </row>
    <row r="8" spans="1:9">
      <c r="A8" t="s">
        <v>165</v>
      </c>
      <c r="B8" s="2">
        <f>B4+B7</f>
        <v>200</v>
      </c>
      <c r="C8" s="2">
        <f t="shared" ref="C8:I8" si="4">C4+C7</f>
        <v>204.75599487291959</v>
      </c>
      <c r="D8" s="2">
        <f t="shared" si="4"/>
        <v>209.75599487291959</v>
      </c>
      <c r="E8" s="2">
        <f t="shared" si="4"/>
        <v>214.75599487291959</v>
      </c>
      <c r="F8" s="2">
        <f t="shared" si="4"/>
        <v>219.75599487291959</v>
      </c>
      <c r="G8" s="2">
        <f t="shared" si="4"/>
        <v>224.75599487291959</v>
      </c>
      <c r="H8" s="2">
        <f t="shared" si="4"/>
        <v>229.75599487291959</v>
      </c>
      <c r="I8" s="2">
        <f t="shared" si="4"/>
        <v>234.75599487291959</v>
      </c>
    </row>
    <row r="9" spans="1:9">
      <c r="A9" t="s">
        <v>13</v>
      </c>
      <c r="B9" s="1" t="s">
        <v>168</v>
      </c>
    </row>
    <row r="10" spans="1:9">
      <c r="A10" t="s">
        <v>253</v>
      </c>
      <c r="C10" s="4">
        <f>-5.24+C5</f>
        <v>4.76</v>
      </c>
      <c r="D10">
        <f t="shared" ref="D10:I10" si="5">-5.24+D5</f>
        <v>9.76</v>
      </c>
      <c r="E10">
        <f t="shared" si="5"/>
        <v>14.76</v>
      </c>
      <c r="F10">
        <f t="shared" si="5"/>
        <v>19.759999999999998</v>
      </c>
      <c r="G10">
        <f t="shared" si="5"/>
        <v>24.759999999999998</v>
      </c>
      <c r="H10">
        <f t="shared" si="5"/>
        <v>29.759999999999998</v>
      </c>
      <c r="I10" s="4">
        <f t="shared" si="5"/>
        <v>34.76</v>
      </c>
    </row>
    <row r="11" spans="1:9">
      <c r="A11" t="s">
        <v>210</v>
      </c>
    </row>
    <row r="13" spans="1:9">
      <c r="A13" t="s">
        <v>218</v>
      </c>
    </row>
    <row r="14" spans="1:9" ht="15.75" thickBot="1"/>
    <row r="15" spans="1:9">
      <c r="A15" s="64" t="s">
        <v>219</v>
      </c>
      <c r="B15" s="64"/>
    </row>
    <row r="16" spans="1:9">
      <c r="A16" s="61" t="s">
        <v>220</v>
      </c>
      <c r="B16" s="61">
        <v>1</v>
      </c>
    </row>
    <row r="17" spans="1:9">
      <c r="A17" s="61" t="s">
        <v>221</v>
      </c>
      <c r="B17" s="61">
        <v>1</v>
      </c>
    </row>
    <row r="18" spans="1:9">
      <c r="A18" s="61" t="s">
        <v>222</v>
      </c>
      <c r="B18" s="61">
        <v>-1.4</v>
      </c>
    </row>
    <row r="19" spans="1:9">
      <c r="A19" s="61" t="s">
        <v>223</v>
      </c>
      <c r="B19" s="61">
        <v>1.2429551525515691E-15</v>
      </c>
    </row>
    <row r="20" spans="1:9" ht="15.75" thickBot="1">
      <c r="A20" s="62" t="s">
        <v>224</v>
      </c>
      <c r="B20" s="62">
        <v>1</v>
      </c>
    </row>
    <row r="22" spans="1:9" ht="15.75" thickBot="1">
      <c r="A22" t="s">
        <v>225</v>
      </c>
    </row>
    <row r="23" spans="1:9">
      <c r="A23" s="63"/>
      <c r="B23" s="63" t="s">
        <v>230</v>
      </c>
      <c r="C23" s="63" t="s">
        <v>231</v>
      </c>
      <c r="D23" s="63" t="s">
        <v>232</v>
      </c>
      <c r="E23" s="63" t="s">
        <v>233</v>
      </c>
      <c r="F23" s="63" t="s">
        <v>234</v>
      </c>
    </row>
    <row r="24" spans="1:9">
      <c r="A24" s="61" t="s">
        <v>226</v>
      </c>
      <c r="B24" s="61">
        <v>7</v>
      </c>
      <c r="C24" s="61">
        <v>700.00000000000011</v>
      </c>
      <c r="D24" s="61">
        <v>100.00000000000001</v>
      </c>
      <c r="E24" s="61">
        <v>4.5309275935154018E+32</v>
      </c>
      <c r="F24" s="61" t="e">
        <v>#NUM!</v>
      </c>
    </row>
    <row r="25" spans="1:9">
      <c r="A25" s="61" t="s">
        <v>227</v>
      </c>
      <c r="B25" s="61">
        <v>5</v>
      </c>
      <c r="C25" s="61">
        <v>7.7246875562724725E-30</v>
      </c>
      <c r="D25" s="61">
        <v>1.5449375112544945E-30</v>
      </c>
      <c r="E25" s="61"/>
      <c r="F25" s="61"/>
    </row>
    <row r="26" spans="1:9" ht="15.75" thickBot="1">
      <c r="A26" s="62" t="s">
        <v>228</v>
      </c>
      <c r="B26" s="62">
        <v>12</v>
      </c>
      <c r="C26" s="62">
        <v>700.00000000000011</v>
      </c>
      <c r="D26" s="62"/>
      <c r="E26" s="62"/>
      <c r="F26" s="62"/>
    </row>
    <row r="27" spans="1:9" ht="15.75" thickBot="1"/>
    <row r="28" spans="1:9">
      <c r="A28" s="63"/>
      <c r="B28" s="63" t="s">
        <v>235</v>
      </c>
      <c r="C28" s="63" t="s">
        <v>223</v>
      </c>
      <c r="D28" s="63" t="s">
        <v>236</v>
      </c>
      <c r="E28" s="63" t="s">
        <v>237</v>
      </c>
      <c r="F28" s="63" t="s">
        <v>238</v>
      </c>
      <c r="G28" s="63" t="s">
        <v>239</v>
      </c>
      <c r="H28" s="63" t="s">
        <v>240</v>
      </c>
      <c r="I28" s="63" t="s">
        <v>241</v>
      </c>
    </row>
    <row r="29" spans="1:9">
      <c r="A29" s="61" t="s">
        <v>229</v>
      </c>
      <c r="B29" s="61"/>
      <c r="C29" s="61"/>
      <c r="D29" s="61"/>
      <c r="E29" s="61"/>
      <c r="F29" s="61"/>
      <c r="G29" s="61"/>
      <c r="H29" s="61">
        <v>0</v>
      </c>
      <c r="I29" s="61">
        <v>0</v>
      </c>
    </row>
    <row r="30" spans="1:9">
      <c r="A30" s="61" t="s">
        <v>242</v>
      </c>
      <c r="B30" s="61"/>
      <c r="C30" s="61"/>
      <c r="D30" s="61"/>
      <c r="E30" s="61"/>
      <c r="F30" s="61"/>
      <c r="G30" s="61"/>
      <c r="H30" s="61">
        <v>1.0701930703303528E-240</v>
      </c>
      <c r="I30" s="61">
        <v>1.0701930703303528E-240</v>
      </c>
    </row>
    <row r="31" spans="1:9">
      <c r="A31" s="61" t="s">
        <v>243</v>
      </c>
      <c r="B31" s="61"/>
      <c r="C31" s="61"/>
      <c r="D31" s="61"/>
      <c r="E31" s="61"/>
      <c r="F31" s="61"/>
      <c r="G31" s="61"/>
      <c r="H31" s="61">
        <v>0</v>
      </c>
      <c r="I31" s="61">
        <v>0</v>
      </c>
    </row>
    <row r="32" spans="1:9">
      <c r="A32" s="61" t="s">
        <v>244</v>
      </c>
      <c r="B32" s="61"/>
      <c r="C32" s="61"/>
      <c r="D32" s="61"/>
      <c r="E32" s="61"/>
      <c r="F32" s="61"/>
      <c r="G32" s="61"/>
      <c r="H32" s="61">
        <v>1.5424881935644488E-286</v>
      </c>
      <c r="I32" s="61">
        <v>1.5424881935644488E-286</v>
      </c>
    </row>
    <row r="33" spans="1:9">
      <c r="A33" s="61" t="s">
        <v>245</v>
      </c>
      <c r="B33" s="61"/>
      <c r="C33" s="61"/>
      <c r="D33" s="61"/>
      <c r="E33" s="61"/>
      <c r="F33" s="61"/>
      <c r="G33" s="61"/>
      <c r="H33" s="61">
        <v>0</v>
      </c>
      <c r="I33" s="61">
        <v>0</v>
      </c>
    </row>
    <row r="34" spans="1:9">
      <c r="A34" s="61" t="s">
        <v>246</v>
      </c>
      <c r="B34" s="61"/>
      <c r="C34" s="61"/>
      <c r="D34" s="61"/>
      <c r="E34" s="61"/>
      <c r="F34" s="61"/>
      <c r="G34" s="61"/>
      <c r="H34" s="61">
        <v>1.5424080268300335E-286</v>
      </c>
      <c r="I34" s="61">
        <v>1.5424080268300335E-286</v>
      </c>
    </row>
    <row r="35" spans="1:9">
      <c r="A35" s="61" t="s">
        <v>247</v>
      </c>
      <c r="B35" s="61">
        <v>-5.2440051270804169</v>
      </c>
      <c r="C35" s="61">
        <v>1.2649560668031734E-15</v>
      </c>
      <c r="D35" s="61">
        <v>-4145602574430264</v>
      </c>
      <c r="E35" s="61">
        <v>1.550120768624932E-77</v>
      </c>
      <c r="F35" s="61">
        <v>-5.2440051270804204</v>
      </c>
      <c r="G35" s="61">
        <v>-5.2440051270804133</v>
      </c>
      <c r="H35" s="61">
        <v>-5.2440051270804204</v>
      </c>
      <c r="I35" s="61">
        <v>-5.2440051270804133</v>
      </c>
    </row>
    <row r="36" spans="1:9" ht="15.75" thickBot="1">
      <c r="A36" s="62" t="s">
        <v>248</v>
      </c>
      <c r="B36" s="62">
        <v>1.0000000000000002</v>
      </c>
      <c r="C36" s="62">
        <v>4.6979288920825746E-17</v>
      </c>
      <c r="D36" s="62">
        <v>2.128597564951018E+16</v>
      </c>
      <c r="E36" s="62">
        <v>4.3434623041649407E-81</v>
      </c>
      <c r="F36" s="62">
        <v>1</v>
      </c>
      <c r="G36" s="62">
        <v>1.0000000000000004</v>
      </c>
      <c r="H36" s="62">
        <v>1</v>
      </c>
      <c r="I36" s="62">
        <v>1.0000000000000004</v>
      </c>
    </row>
  </sheetData>
  <printOptions horizontalCentered="1" headings="1"/>
  <pageMargins left="0.7" right="0.7" top="0.75" bottom="0.75" header="0.3" footer="0.3"/>
  <pageSetup scale="9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A56" sqref="A1:H56"/>
    </sheetView>
  </sheetViews>
  <sheetFormatPr defaultRowHeight="15"/>
  <cols>
    <col min="1" max="1" width="26.7109375" bestFit="1" customWidth="1"/>
    <col min="3" max="3" width="12.42578125" bestFit="1" customWidth="1"/>
  </cols>
  <sheetData>
    <row r="1" spans="1:5" ht="15.75">
      <c r="A1" s="16" t="s">
        <v>108</v>
      </c>
      <c r="B1" s="17"/>
      <c r="C1" s="18"/>
      <c r="D1" s="17"/>
      <c r="E1" s="17"/>
    </row>
    <row r="2" spans="1:5">
      <c r="A2" s="17" t="s">
        <v>208</v>
      </c>
      <c r="B2" s="17" t="s">
        <v>2</v>
      </c>
      <c r="C2" s="19" t="s">
        <v>2</v>
      </c>
      <c r="D2" s="17"/>
      <c r="E2" s="17"/>
    </row>
    <row r="3" spans="1:5">
      <c r="A3" s="17" t="s">
        <v>140</v>
      </c>
      <c r="B3" s="17" t="s">
        <v>48</v>
      </c>
      <c r="C3" s="20">
        <v>50</v>
      </c>
      <c r="D3" s="21" t="s">
        <v>2</v>
      </c>
      <c r="E3" s="17"/>
    </row>
    <row r="4" spans="1:5">
      <c r="A4" s="17" t="s">
        <v>141</v>
      </c>
      <c r="B4" s="17" t="s">
        <v>49</v>
      </c>
      <c r="C4" s="17">
        <v>100</v>
      </c>
      <c r="D4" s="21" t="s">
        <v>2</v>
      </c>
      <c r="E4" s="17"/>
    </row>
    <row r="5" spans="1:5">
      <c r="A5" s="17" t="s">
        <v>50</v>
      </c>
      <c r="B5" s="22" t="s">
        <v>51</v>
      </c>
      <c r="C5" s="22">
        <v>0.04</v>
      </c>
      <c r="D5" s="21"/>
      <c r="E5" s="17"/>
    </row>
    <row r="6" spans="1:5">
      <c r="A6" s="17" t="s">
        <v>52</v>
      </c>
      <c r="B6" s="22" t="s">
        <v>53</v>
      </c>
      <c r="C6" s="22">
        <v>0.04</v>
      </c>
      <c r="D6" s="23"/>
      <c r="E6" s="17"/>
    </row>
    <row r="7" spans="1:5">
      <c r="A7" s="17" t="s">
        <v>54</v>
      </c>
      <c r="B7" s="22" t="s">
        <v>55</v>
      </c>
      <c r="C7" s="24">
        <v>0.2</v>
      </c>
      <c r="D7" s="23"/>
      <c r="E7" s="17"/>
    </row>
    <row r="8" spans="1:5">
      <c r="A8" s="17" t="s">
        <v>56</v>
      </c>
      <c r="B8" s="22" t="s">
        <v>57</v>
      </c>
      <c r="C8" s="24">
        <v>0.2</v>
      </c>
      <c r="D8" s="23"/>
      <c r="E8" s="17"/>
    </row>
    <row r="9" spans="1:5">
      <c r="A9" s="17" t="s">
        <v>58</v>
      </c>
      <c r="B9" s="22" t="s">
        <v>59</v>
      </c>
      <c r="C9" s="24">
        <v>0.5</v>
      </c>
      <c r="D9" s="23"/>
      <c r="E9" s="17"/>
    </row>
    <row r="10" spans="1:5">
      <c r="A10" s="17" t="s">
        <v>60</v>
      </c>
      <c r="B10" s="22" t="s">
        <v>61</v>
      </c>
      <c r="C10" s="22">
        <v>0.05</v>
      </c>
      <c r="D10" s="23"/>
      <c r="E10" s="17"/>
    </row>
    <row r="11" spans="1:5">
      <c r="A11" s="17" t="s">
        <v>62</v>
      </c>
      <c r="B11" s="22" t="s">
        <v>63</v>
      </c>
      <c r="C11" s="25">
        <v>30</v>
      </c>
      <c r="D11" s="23"/>
      <c r="E11" s="17"/>
    </row>
    <row r="12" spans="1:5">
      <c r="A12" s="17" t="s">
        <v>64</v>
      </c>
      <c r="B12" s="22" t="s">
        <v>65</v>
      </c>
      <c r="C12" s="25">
        <v>30</v>
      </c>
      <c r="D12" s="23"/>
      <c r="E12" s="17"/>
    </row>
    <row r="13" spans="1:5">
      <c r="A13" s="17" t="s">
        <v>2</v>
      </c>
      <c r="B13" s="22" t="s">
        <v>2</v>
      </c>
      <c r="C13" s="23" t="s">
        <v>2</v>
      </c>
      <c r="D13" s="23"/>
      <c r="E13" s="17"/>
    </row>
    <row r="14" spans="1:5">
      <c r="A14" s="17" t="s">
        <v>2</v>
      </c>
      <c r="B14" s="22" t="s">
        <v>2</v>
      </c>
      <c r="C14" s="23" t="s">
        <v>2</v>
      </c>
      <c r="D14" s="23"/>
      <c r="E14" s="17"/>
    </row>
    <row r="15" spans="1:5">
      <c r="A15" s="17" t="s">
        <v>66</v>
      </c>
      <c r="B15" s="22" t="s">
        <v>67</v>
      </c>
      <c r="C15" s="23">
        <v>300</v>
      </c>
      <c r="D15" s="23"/>
      <c r="E15" s="17"/>
    </row>
    <row r="16" spans="1:5">
      <c r="A16" s="17" t="s">
        <v>68</v>
      </c>
      <c r="B16" s="22" t="s">
        <v>69</v>
      </c>
      <c r="C16" s="23">
        <v>100</v>
      </c>
      <c r="D16" s="23"/>
      <c r="E16" s="17"/>
    </row>
    <row r="17" spans="1:5">
      <c r="A17" s="17" t="s">
        <v>70</v>
      </c>
      <c r="B17" s="17" t="s">
        <v>71</v>
      </c>
      <c r="C17" s="26">
        <f>(C3/C5-C11/C10)</f>
        <v>650</v>
      </c>
      <c r="D17" s="23" t="s">
        <v>2</v>
      </c>
      <c r="E17" s="17"/>
    </row>
    <row r="18" spans="1:5">
      <c r="A18" s="17" t="s">
        <v>72</v>
      </c>
      <c r="B18" s="17" t="s">
        <v>73</v>
      </c>
      <c r="C18" s="26">
        <f>(C4/C6-C12/C10)</f>
        <v>1900</v>
      </c>
      <c r="D18" s="23" t="s">
        <v>2</v>
      </c>
      <c r="E18" s="17"/>
    </row>
    <row r="19" spans="1:5">
      <c r="A19" s="17" t="s">
        <v>74</v>
      </c>
      <c r="B19" s="22" t="s">
        <v>75</v>
      </c>
      <c r="C19" s="27">
        <f>C3</f>
        <v>50</v>
      </c>
      <c r="D19" s="23"/>
      <c r="E19" s="17"/>
    </row>
    <row r="20" spans="1:5">
      <c r="A20" s="17" t="s">
        <v>109</v>
      </c>
      <c r="B20" s="22" t="s">
        <v>110</v>
      </c>
      <c r="C20" s="27">
        <f>C3</f>
        <v>50</v>
      </c>
      <c r="D20" s="23"/>
      <c r="E20" s="17"/>
    </row>
    <row r="21" spans="1:5">
      <c r="A21" s="17"/>
      <c r="B21" s="17" t="s">
        <v>76</v>
      </c>
      <c r="C21" s="17"/>
      <c r="D21" s="17" t="s">
        <v>142</v>
      </c>
      <c r="E21" s="17" t="s">
        <v>143</v>
      </c>
    </row>
    <row r="22" spans="1:5">
      <c r="A22" s="17" t="s">
        <v>78</v>
      </c>
      <c r="B22" s="28" t="s">
        <v>79</v>
      </c>
      <c r="C22" s="29">
        <f>C3/C5-C11/C10+C24*C3^C28*C4^C29</f>
        <v>1791.1443013826179</v>
      </c>
      <c r="D22" s="29">
        <f>C24*C3^C28*C4^C29</f>
        <v>1141.1443013826179</v>
      </c>
      <c r="E22" s="29">
        <f>C3/C5-C11/C10</f>
        <v>650</v>
      </c>
    </row>
    <row r="23" spans="1:5">
      <c r="A23" s="17" t="s">
        <v>80</v>
      </c>
      <c r="B23" s="28" t="s">
        <v>81</v>
      </c>
      <c r="C23" s="29">
        <f>C4/C6-C12/C10+C25*C3^C30*C4^C31</f>
        <v>2090.8353233392259</v>
      </c>
      <c r="D23" s="29">
        <f>C25*C3^C30*C4^C31</f>
        <v>190.83532333922568</v>
      </c>
      <c r="E23" s="29">
        <f>C4/C6-C12/C10</f>
        <v>1900</v>
      </c>
    </row>
    <row r="24" spans="1:5">
      <c r="A24" s="17"/>
      <c r="B24" s="28" t="s">
        <v>82</v>
      </c>
      <c r="C24" s="30">
        <v>1.8339234632949521</v>
      </c>
      <c r="D24" s="31"/>
      <c r="E24" s="17"/>
    </row>
    <row r="25" spans="1:5">
      <c r="A25" s="17"/>
      <c r="B25" s="28" t="s">
        <v>111</v>
      </c>
      <c r="C25" s="30">
        <v>3.054396645637703</v>
      </c>
      <c r="D25" s="31"/>
      <c r="E25" s="17"/>
    </row>
    <row r="26" spans="1:5">
      <c r="A26" s="17" t="s">
        <v>74</v>
      </c>
      <c r="B26" s="32" t="s">
        <v>83</v>
      </c>
      <c r="C26" s="33">
        <v>101.72174661549593</v>
      </c>
      <c r="D26" s="21"/>
      <c r="E26" s="17"/>
    </row>
    <row r="27" spans="1:5">
      <c r="A27" s="17" t="s">
        <v>109</v>
      </c>
      <c r="B27" s="32" t="s">
        <v>112</v>
      </c>
      <c r="C27" s="33">
        <v>25.053581346043398</v>
      </c>
      <c r="D27" s="21"/>
      <c r="E27" s="17"/>
    </row>
    <row r="28" spans="1:5">
      <c r="A28" s="17" t="s">
        <v>84</v>
      </c>
      <c r="B28" s="32" t="s">
        <v>85</v>
      </c>
      <c r="C28" s="34">
        <v>-0.73619204823005047</v>
      </c>
      <c r="D28" s="35" t="s">
        <v>86</v>
      </c>
      <c r="E28" s="17"/>
    </row>
    <row r="29" spans="1:5">
      <c r="A29" s="17" t="s">
        <v>84</v>
      </c>
      <c r="B29" s="32" t="s">
        <v>87</v>
      </c>
      <c r="C29" s="34">
        <v>2.0223637831385859</v>
      </c>
      <c r="D29" s="35" t="s">
        <v>88</v>
      </c>
      <c r="E29" s="17"/>
    </row>
    <row r="30" spans="1:5">
      <c r="A30" s="17" t="s">
        <v>84</v>
      </c>
      <c r="B30" s="32" t="s">
        <v>113</v>
      </c>
      <c r="C30" s="34">
        <v>2.0213555941939818</v>
      </c>
      <c r="D30" s="35" t="s">
        <v>88</v>
      </c>
      <c r="E30" s="17"/>
    </row>
    <row r="31" spans="1:5">
      <c r="A31" s="17" t="s">
        <v>84</v>
      </c>
      <c r="B31" s="32" t="s">
        <v>114</v>
      </c>
      <c r="C31" s="34">
        <v>-0.8192445958272403</v>
      </c>
      <c r="D31" s="35" t="s">
        <v>86</v>
      </c>
      <c r="E31" s="17"/>
    </row>
    <row r="32" spans="1:5">
      <c r="A32" s="17"/>
      <c r="B32" s="17" t="s">
        <v>89</v>
      </c>
      <c r="C32" s="36"/>
      <c r="D32" s="26"/>
      <c r="E32" s="17"/>
    </row>
    <row r="33" spans="1:5">
      <c r="A33" s="17" t="s">
        <v>90</v>
      </c>
      <c r="B33" s="28" t="s">
        <v>115</v>
      </c>
      <c r="C33" s="37">
        <f>(C24*C19^C28*C26^C29+C19/C5-C11/C10-C25*C19^C30*C26^C31-C26/C6+C12/C10+C15)</f>
        <v>1.2706618690572213E-7</v>
      </c>
      <c r="D33" s="26"/>
      <c r="E33" s="17"/>
    </row>
    <row r="34" spans="1:5">
      <c r="A34" s="17" t="s">
        <v>116</v>
      </c>
      <c r="B34" s="28" t="s">
        <v>117</v>
      </c>
      <c r="C34" s="37">
        <f>(C24*C20^C28*C27^C29+C20/C5-C11/C10-C25*C20^C30*C27^C31-C27/C6+C12/C10-C16)</f>
        <v>2.4307382773258723E-8</v>
      </c>
      <c r="D34" s="26"/>
      <c r="E34" s="17"/>
    </row>
    <row r="35" spans="1:5">
      <c r="A35" s="17" t="s">
        <v>91</v>
      </c>
      <c r="B35" s="28" t="s">
        <v>118</v>
      </c>
      <c r="C35" s="37">
        <f>(C28*C24*C19^(C28-1)*C26^C29+1/C5-C30*C25*C19^(C30-1)*C26^C31)</f>
        <v>3.1421034663026148E-9</v>
      </c>
      <c r="D35" s="26"/>
      <c r="E35" s="17"/>
    </row>
    <row r="36" spans="1:5">
      <c r="A36" s="17" t="s">
        <v>92</v>
      </c>
      <c r="B36" s="28" t="s">
        <v>119</v>
      </c>
      <c r="C36" s="37">
        <f>(C29*C24*C19^C28*C26^(C29-1)-C31*C25*C19^C30*C26^(C31-1)-1/C6)</f>
        <v>-2.9634499298936134E-9</v>
      </c>
      <c r="D36" s="26"/>
      <c r="E36" s="17"/>
    </row>
    <row r="37" spans="1:5">
      <c r="A37" s="17" t="s">
        <v>120</v>
      </c>
      <c r="B37" s="28" t="s">
        <v>121</v>
      </c>
      <c r="C37" s="37">
        <f>(C28*C24*C20^(C28-1)*C27^C29+1/C5-C30*C25*C20^(C30-1)*C27^C31)</f>
        <v>7.2830630415410269E-13</v>
      </c>
      <c r="D37" s="26"/>
      <c r="E37" s="17"/>
    </row>
    <row r="38" spans="1:5">
      <c r="A38" s="17" t="s">
        <v>122</v>
      </c>
      <c r="B38" s="28" t="s">
        <v>123</v>
      </c>
      <c r="C38" s="37">
        <f>(C29*C24*C20^C28*C27^(C29-1)-C31*C25*C20^C30*C27^(C31-1)-1/C6)</f>
        <v>9.1186436179668817E-10</v>
      </c>
      <c r="D38" s="26"/>
      <c r="E38" s="17"/>
    </row>
    <row r="39" spans="1:5">
      <c r="A39" s="17" t="s">
        <v>93</v>
      </c>
      <c r="B39" s="28" t="s">
        <v>124</v>
      </c>
      <c r="C39" s="37">
        <f>0.5*C7^2*C28*(C28-1)+0.5*C8^2*C29*(C29-1)+C9*C7*C8*C28*C29+C28*(C10-C5)+C29*(C10-C6)-C10</f>
        <v>-3.1322167082237229E-14</v>
      </c>
      <c r="D39" s="26"/>
      <c r="E39" s="17"/>
    </row>
    <row r="40" spans="1:5">
      <c r="A40" s="17" t="s">
        <v>125</v>
      </c>
      <c r="B40" s="28" t="s">
        <v>126</v>
      </c>
      <c r="C40" s="37">
        <f>0.5*C7^2*C30*(C30-1)+0.5*C8^2*C31*(C31-1)+C9*C7*C8*C30*C31+C30*(C10-C5)+C31*(C10-C6)-C10</f>
        <v>-1.0137723993608461E-14</v>
      </c>
      <c r="D40" s="26"/>
      <c r="E40" s="17"/>
    </row>
    <row r="41" spans="1:5">
      <c r="A41" s="17"/>
      <c r="B41" s="17" t="s">
        <v>94</v>
      </c>
      <c r="C41" s="38">
        <f>SUM(ABS(C33)+ABS(C34)+ABS(C35)+ABS(C36)+ABS(C37)+ABS(C38)+ABS(C39)+ABS(C40))</f>
        <v>1.58391757203169E-7</v>
      </c>
      <c r="D41" s="39" t="s">
        <v>2</v>
      </c>
      <c r="E41" s="17"/>
    </row>
    <row r="42" spans="1:5">
      <c r="B42" s="28" t="s">
        <v>139</v>
      </c>
    </row>
    <row r="43" spans="1:5">
      <c r="B43" s="28" t="s">
        <v>146</v>
      </c>
      <c r="C43" s="55">
        <f>C6*(C15+C3/C5)</f>
        <v>62</v>
      </c>
      <c r="D43" s="51" t="s">
        <v>147</v>
      </c>
    </row>
    <row r="44" spans="1:5">
      <c r="B44" s="28" t="s">
        <v>149</v>
      </c>
      <c r="C44" s="55">
        <f>C6*(-C16+C3/C5)</f>
        <v>46</v>
      </c>
      <c r="D44" s="51" t="s">
        <v>148</v>
      </c>
    </row>
    <row r="45" spans="1:5">
      <c r="B45" s="28" t="s">
        <v>144</v>
      </c>
      <c r="C45" s="55">
        <f>C43-C44</f>
        <v>16</v>
      </c>
      <c r="D45" s="51" t="s">
        <v>150</v>
      </c>
    </row>
    <row r="46" spans="1:5">
      <c r="A46" s="28" t="s">
        <v>115</v>
      </c>
      <c r="B46" s="52" t="s">
        <v>129</v>
      </c>
    </row>
    <row r="47" spans="1:5">
      <c r="A47" s="28" t="s">
        <v>117</v>
      </c>
      <c r="B47" s="52" t="s">
        <v>130</v>
      </c>
    </row>
    <row r="48" spans="1:5">
      <c r="A48" s="28" t="s">
        <v>118</v>
      </c>
      <c r="B48" s="37" t="s">
        <v>131</v>
      </c>
    </row>
    <row r="49" spans="1:4">
      <c r="A49" s="28" t="s">
        <v>119</v>
      </c>
      <c r="B49" s="37" t="s">
        <v>132</v>
      </c>
    </row>
    <row r="50" spans="1:4">
      <c r="A50" s="28" t="s">
        <v>121</v>
      </c>
      <c r="B50" s="37" t="s">
        <v>133</v>
      </c>
    </row>
    <row r="51" spans="1:4">
      <c r="A51" s="28" t="s">
        <v>123</v>
      </c>
      <c r="B51" s="37" t="s">
        <v>134</v>
      </c>
    </row>
    <row r="52" spans="1:4">
      <c r="A52" s="28" t="s">
        <v>124</v>
      </c>
      <c r="B52" s="53" t="s">
        <v>135</v>
      </c>
    </row>
    <row r="53" spans="1:4">
      <c r="A53" s="28" t="s">
        <v>126</v>
      </c>
      <c r="B53" s="53" t="s">
        <v>136</v>
      </c>
    </row>
    <row r="54" spans="1:4">
      <c r="A54" s="28" t="s">
        <v>100</v>
      </c>
      <c r="C54" s="1">
        <f>C26-C27</f>
        <v>76.66816526945253</v>
      </c>
      <c r="D54" s="1" t="s">
        <v>145</v>
      </c>
    </row>
    <row r="55" spans="1:4">
      <c r="A55" s="28" t="s">
        <v>101</v>
      </c>
      <c r="B55" s="26" t="s">
        <v>137</v>
      </c>
    </row>
    <row r="56" spans="1:4">
      <c r="A56" s="28" t="s">
        <v>103</v>
      </c>
      <c r="B56" s="26" t="s">
        <v>138</v>
      </c>
    </row>
  </sheetData>
  <printOptions horizontalCentered="1" headings="1"/>
  <pageMargins left="0.7" right="0.7" top="0.75" bottom="0.75" header="0.3" footer="0.3"/>
  <pageSetup scale="75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I12" sqref="I12"/>
    </sheetView>
  </sheetViews>
  <sheetFormatPr defaultRowHeight="15"/>
  <cols>
    <col min="1" max="1" width="15.28515625" bestFit="1" customWidth="1"/>
    <col min="2" max="11" width="7.5703125" customWidth="1"/>
  </cols>
  <sheetData>
    <row r="1" spans="1:11">
      <c r="A1" s="7" t="s">
        <v>200</v>
      </c>
      <c r="B1" s="7" t="s">
        <v>2</v>
      </c>
      <c r="C1" s="7" t="s">
        <v>2</v>
      </c>
      <c r="D1" s="7" t="s">
        <v>2</v>
      </c>
    </row>
    <row r="2" spans="1:11">
      <c r="A2" s="4" t="s">
        <v>161</v>
      </c>
      <c r="B2" s="2">
        <f>MAX(MIN(NORMINV(B3,B4,B5),B6),0)</f>
        <v>63.971029888186195</v>
      </c>
      <c r="C2" s="2">
        <f t="shared" ref="C2:D2" si="0">MAX(MIN(NORMINV(C3,C4,C5),C6),0)</f>
        <v>49.249999999999986</v>
      </c>
      <c r="D2" s="2">
        <f t="shared" si="0"/>
        <v>36.995831597116087</v>
      </c>
      <c r="E2" s="2">
        <f t="shared" ref="E2" si="1">MAX(MIN(NORMINV(E3,E4,E5),E6),0)</f>
        <v>26.470428631678615</v>
      </c>
      <c r="F2" s="2">
        <f t="shared" ref="F2" si="2">MAX(MIN(NORMINV(F3,F4,F5),F6),0)</f>
        <v>17.221804939698885</v>
      </c>
      <c r="G2" s="2">
        <f t="shared" ref="G2" si="3">MAX(MIN(NORMINV(G3,G4,G5),G6),0)</f>
        <v>8.9529149009419626</v>
      </c>
      <c r="H2" s="2">
        <f t="shared" ref="H2" si="4">MAX(MIN(NORMINV(H3,H4,H5),H6),0)</f>
        <v>1.4581336470394675</v>
      </c>
      <c r="I2" s="2">
        <f t="shared" ref="I2" si="5">MAX(MIN(NORMINV(I3,I4,I5),I6),0)</f>
        <v>0</v>
      </c>
      <c r="J2" s="2">
        <f t="shared" ref="J2" si="6">MAX(MIN(NORMINV(J3,J4,J5),J6),0)</f>
        <v>0</v>
      </c>
      <c r="K2" s="2">
        <f t="shared" ref="K2" si="7">MAX(MIN(NORMINV(K3,K4,K5),K6),0)</f>
        <v>0</v>
      </c>
    </row>
    <row r="3" spans="1:11">
      <c r="A3" t="s">
        <v>151</v>
      </c>
      <c r="B3" s="1">
        <f>B7</f>
        <v>0.55555555555555558</v>
      </c>
      <c r="C3" s="1">
        <f t="shared" ref="C3:D3" si="8">C7</f>
        <v>0.5</v>
      </c>
      <c r="D3" s="1">
        <f t="shared" si="8"/>
        <v>0.45454545454545453</v>
      </c>
      <c r="E3" s="1">
        <f t="shared" ref="E3:J3" si="9">E7</f>
        <v>0.41666666666666669</v>
      </c>
      <c r="F3" s="1">
        <f t="shared" si="9"/>
        <v>0.38461538461538464</v>
      </c>
      <c r="G3" s="1">
        <f t="shared" si="9"/>
        <v>0.35714285714285715</v>
      </c>
      <c r="H3" s="1">
        <f t="shared" si="9"/>
        <v>0.33333333333333331</v>
      </c>
      <c r="I3" s="1">
        <f t="shared" si="9"/>
        <v>0.3125</v>
      </c>
      <c r="J3" s="1">
        <f t="shared" si="9"/>
        <v>0.29411764705882354</v>
      </c>
      <c r="K3" s="1">
        <f t="shared" ref="K3" si="10">K7</f>
        <v>0.27777777777777779</v>
      </c>
    </row>
    <row r="4" spans="1:11">
      <c r="A4" t="s">
        <v>152</v>
      </c>
      <c r="B4">
        <v>50</v>
      </c>
      <c r="C4" s="6">
        <f>B4-$B$11*(C9-B9)</f>
        <v>49.25</v>
      </c>
      <c r="D4" s="6">
        <f t="shared" ref="D4:J4" si="11">C4-$B$11*(D9-C9)</f>
        <v>48.5</v>
      </c>
      <c r="E4" s="6">
        <f t="shared" si="11"/>
        <v>47.75</v>
      </c>
      <c r="F4" s="6">
        <f t="shared" si="11"/>
        <v>47</v>
      </c>
      <c r="G4" s="6">
        <f t="shared" si="11"/>
        <v>46.25</v>
      </c>
      <c r="H4" s="6">
        <f t="shared" si="11"/>
        <v>45.5</v>
      </c>
      <c r="I4" s="6">
        <f t="shared" si="11"/>
        <v>44.75</v>
      </c>
      <c r="J4" s="6">
        <f t="shared" si="11"/>
        <v>44</v>
      </c>
      <c r="K4" s="6">
        <f t="shared" ref="K4" si="12">J4-$B$11*(K9-J9)</f>
        <v>43.25</v>
      </c>
    </row>
    <row r="5" spans="1:11">
      <c r="A5" t="s">
        <v>153</v>
      </c>
      <c r="B5">
        <v>100</v>
      </c>
      <c r="C5" s="6">
        <f>B5+0.5*$B$11*(C9-B9)</f>
        <v>100.375</v>
      </c>
      <c r="D5" s="6">
        <f t="shared" ref="D5:J5" si="13">C5+0.5*$B$11*(D9-C9)</f>
        <v>100.75</v>
      </c>
      <c r="E5" s="6">
        <f t="shared" si="13"/>
        <v>101.125</v>
      </c>
      <c r="F5" s="6">
        <f t="shared" si="13"/>
        <v>101.5</v>
      </c>
      <c r="G5" s="6">
        <f t="shared" si="13"/>
        <v>101.875</v>
      </c>
      <c r="H5" s="6">
        <f t="shared" si="13"/>
        <v>102.25</v>
      </c>
      <c r="I5" s="6">
        <f t="shared" si="13"/>
        <v>102.625</v>
      </c>
      <c r="J5" s="6">
        <f t="shared" si="13"/>
        <v>103</v>
      </c>
      <c r="K5" s="6">
        <f t="shared" ref="K5" si="14">J5+0.5*$B$11*(K9-J9)</f>
        <v>103.375</v>
      </c>
    </row>
    <row r="6" spans="1:11">
      <c r="A6" t="s">
        <v>155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1">
      <c r="A7" t="s">
        <v>9</v>
      </c>
      <c r="B7" s="1">
        <f t="shared" ref="B7:D7" si="15">B8/B9</f>
        <v>0.55555555555555558</v>
      </c>
      <c r="C7" s="1">
        <f t="shared" si="15"/>
        <v>0.5</v>
      </c>
      <c r="D7" s="1">
        <f t="shared" si="15"/>
        <v>0.45454545454545453</v>
      </c>
      <c r="E7" s="1">
        <f t="shared" ref="E7" si="16">E8/E9</f>
        <v>0.41666666666666669</v>
      </c>
      <c r="F7" s="1">
        <f t="shared" ref="F7" si="17">F8/F9</f>
        <v>0.38461538461538464</v>
      </c>
      <c r="G7" s="1">
        <f t="shared" ref="G7" si="18">G8/G9</f>
        <v>0.35714285714285715</v>
      </c>
      <c r="H7" s="1">
        <f t="shared" ref="H7" si="19">H8/H9</f>
        <v>0.33333333333333331</v>
      </c>
      <c r="I7" s="1">
        <f t="shared" ref="I7" si="20">I8/I9</f>
        <v>0.3125</v>
      </c>
      <c r="J7" s="1">
        <f t="shared" ref="J7" si="21">J8/J9</f>
        <v>0.29411764705882354</v>
      </c>
      <c r="K7" s="1">
        <f t="shared" ref="K7" si="22">K8/K9</f>
        <v>0.27777777777777779</v>
      </c>
    </row>
    <row r="8" spans="1:11">
      <c r="A8" t="s">
        <v>4</v>
      </c>
      <c r="B8" s="3">
        <v>500</v>
      </c>
      <c r="C8" s="3">
        <f>B8</f>
        <v>500</v>
      </c>
      <c r="D8" s="3">
        <f>C8</f>
        <v>500</v>
      </c>
      <c r="E8" s="3">
        <f t="shared" ref="E8:J8" si="23">D8</f>
        <v>500</v>
      </c>
      <c r="F8" s="3">
        <f t="shared" si="23"/>
        <v>500</v>
      </c>
      <c r="G8" s="3">
        <f t="shared" si="23"/>
        <v>500</v>
      </c>
      <c r="H8" s="3">
        <f t="shared" si="23"/>
        <v>500</v>
      </c>
      <c r="I8" s="3">
        <f t="shared" si="23"/>
        <v>500</v>
      </c>
      <c r="J8" s="3">
        <f t="shared" si="23"/>
        <v>500</v>
      </c>
      <c r="K8" s="3">
        <f t="shared" ref="K8" si="24">J8</f>
        <v>500</v>
      </c>
    </row>
    <row r="9" spans="1:11">
      <c r="A9" t="s">
        <v>5</v>
      </c>
      <c r="B9" s="3">
        <v>900</v>
      </c>
      <c r="C9" s="3">
        <f>B9+100</f>
        <v>1000</v>
      </c>
      <c r="D9" s="3">
        <f t="shared" ref="D9:J9" si="25">C9+100</f>
        <v>1100</v>
      </c>
      <c r="E9" s="3">
        <f t="shared" si="25"/>
        <v>1200</v>
      </c>
      <c r="F9" s="3">
        <f t="shared" si="25"/>
        <v>1300</v>
      </c>
      <c r="G9" s="3">
        <f t="shared" si="25"/>
        <v>1400</v>
      </c>
      <c r="H9" s="3">
        <f t="shared" si="25"/>
        <v>1500</v>
      </c>
      <c r="I9" s="3">
        <f t="shared" si="25"/>
        <v>1600</v>
      </c>
      <c r="J9" s="3">
        <f t="shared" si="25"/>
        <v>1700</v>
      </c>
      <c r="K9" s="3">
        <f t="shared" ref="K9" si="26">J9+100</f>
        <v>1800</v>
      </c>
    </row>
    <row r="10" spans="1:11">
      <c r="A10" t="s">
        <v>8</v>
      </c>
      <c r="B10" s="3">
        <f>B8*B2+B9*B4</f>
        <v>76985.514944093098</v>
      </c>
      <c r="C10" s="3">
        <f t="shared" ref="C10:J10" si="27">C8*C2+C9*C4</f>
        <v>73875</v>
      </c>
      <c r="D10" s="3">
        <f t="shared" si="27"/>
        <v>71847.915798558039</v>
      </c>
      <c r="E10" s="3">
        <f t="shared" si="27"/>
        <v>70535.214315839316</v>
      </c>
      <c r="F10" s="3">
        <f t="shared" si="27"/>
        <v>69710.902469849447</v>
      </c>
      <c r="G10" s="3">
        <f t="shared" si="27"/>
        <v>69226.457450470974</v>
      </c>
      <c r="H10" s="3">
        <f t="shared" si="27"/>
        <v>68979.066823519737</v>
      </c>
      <c r="I10" s="3">
        <f t="shared" si="27"/>
        <v>71600</v>
      </c>
      <c r="J10" s="3">
        <f t="shared" si="27"/>
        <v>74800</v>
      </c>
      <c r="K10" s="3">
        <f t="shared" ref="K10" si="28">K8*K2+K9*K4</f>
        <v>77850</v>
      </c>
    </row>
    <row r="11" spans="1:11">
      <c r="A11" t="s">
        <v>164</v>
      </c>
      <c r="B11">
        <v>7.4999999999999997E-3</v>
      </c>
    </row>
    <row r="12" spans="1:11">
      <c r="A12" t="s">
        <v>152</v>
      </c>
      <c r="C12" t="s">
        <v>162</v>
      </c>
    </row>
    <row r="13" spans="1:11">
      <c r="A13" t="s">
        <v>153</v>
      </c>
      <c r="B13" t="s">
        <v>2</v>
      </c>
      <c r="C13" s="6" t="s">
        <v>163</v>
      </c>
    </row>
    <row r="14" spans="1:11">
      <c r="A14" s="4" t="str">
        <f>A2</f>
        <v>Booking Limit</v>
      </c>
      <c r="B14" s="56" t="s">
        <v>157</v>
      </c>
    </row>
  </sheetData>
  <printOptions horizontalCentered="1" headings="1"/>
  <pageMargins left="0.7" right="0.7" top="0.75" bottom="0.75" header="0.3" footer="0.3"/>
  <pageSetup scale="90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10" sqref="H10"/>
    </sheetView>
  </sheetViews>
  <sheetFormatPr defaultRowHeight="15"/>
  <cols>
    <col min="1" max="1" width="21.140625" bestFit="1" customWidth="1"/>
  </cols>
  <sheetData>
    <row r="1" spans="1:9" ht="15.75">
      <c r="A1" s="15" t="s">
        <v>167</v>
      </c>
      <c r="B1" s="5"/>
      <c r="C1" s="58"/>
      <c r="D1" s="58"/>
      <c r="E1" s="59"/>
      <c r="F1" s="59"/>
      <c r="G1" s="59"/>
      <c r="H1" s="59"/>
      <c r="I1" s="59"/>
    </row>
    <row r="2" spans="1:9">
      <c r="A2" t="s">
        <v>11</v>
      </c>
      <c r="B2">
        <v>500</v>
      </c>
      <c r="C2">
        <f>B2</f>
        <v>500</v>
      </c>
      <c r="D2">
        <f t="shared" ref="D2:I2" si="0">C2</f>
        <v>500</v>
      </c>
      <c r="E2">
        <f t="shared" si="0"/>
        <v>500</v>
      </c>
      <c r="F2">
        <f t="shared" si="0"/>
        <v>500</v>
      </c>
      <c r="G2">
        <f t="shared" si="0"/>
        <v>500</v>
      </c>
      <c r="H2">
        <f t="shared" si="0"/>
        <v>500</v>
      </c>
      <c r="I2">
        <f t="shared" si="0"/>
        <v>500</v>
      </c>
    </row>
    <row r="3" spans="1:9">
      <c r="A3" t="s">
        <v>45</v>
      </c>
      <c r="B3" s="57">
        <v>500</v>
      </c>
      <c r="C3">
        <f>B3+100</f>
        <v>600</v>
      </c>
      <c r="D3">
        <f t="shared" ref="D3:I3" si="1">C3+100</f>
        <v>700</v>
      </c>
      <c r="E3">
        <f t="shared" si="1"/>
        <v>800</v>
      </c>
      <c r="F3">
        <f t="shared" si="1"/>
        <v>900</v>
      </c>
      <c r="G3">
        <f t="shared" si="1"/>
        <v>1000</v>
      </c>
      <c r="H3">
        <f t="shared" si="1"/>
        <v>1100</v>
      </c>
      <c r="I3">
        <f t="shared" si="1"/>
        <v>1200</v>
      </c>
    </row>
    <row r="4" spans="1:9">
      <c r="A4" t="s">
        <v>12</v>
      </c>
      <c r="B4">
        <v>100</v>
      </c>
      <c r="C4">
        <f t="shared" ref="C4:I6" si="2">B4</f>
        <v>100</v>
      </c>
      <c r="D4">
        <f t="shared" si="2"/>
        <v>100</v>
      </c>
      <c r="E4">
        <f t="shared" si="2"/>
        <v>100</v>
      </c>
      <c r="F4">
        <f t="shared" si="2"/>
        <v>100</v>
      </c>
      <c r="G4">
        <f t="shared" si="2"/>
        <v>100</v>
      </c>
      <c r="H4">
        <f t="shared" si="2"/>
        <v>100</v>
      </c>
      <c r="I4">
        <f t="shared" si="2"/>
        <v>100</v>
      </c>
    </row>
    <row r="5" spans="1:9">
      <c r="A5" t="s">
        <v>43</v>
      </c>
      <c r="B5">
        <v>50</v>
      </c>
      <c r="C5">
        <f t="shared" si="2"/>
        <v>50</v>
      </c>
      <c r="D5">
        <f t="shared" si="2"/>
        <v>50</v>
      </c>
      <c r="E5">
        <f t="shared" si="2"/>
        <v>50</v>
      </c>
      <c r="F5">
        <f t="shared" si="2"/>
        <v>50</v>
      </c>
      <c r="G5">
        <f t="shared" si="2"/>
        <v>50</v>
      </c>
      <c r="H5">
        <f t="shared" si="2"/>
        <v>50</v>
      </c>
      <c r="I5">
        <f t="shared" si="2"/>
        <v>50</v>
      </c>
    </row>
    <row r="6" spans="1:9">
      <c r="A6" t="s">
        <v>44</v>
      </c>
      <c r="B6" s="2">
        <v>100</v>
      </c>
      <c r="C6">
        <f t="shared" si="2"/>
        <v>100</v>
      </c>
      <c r="D6">
        <f t="shared" si="2"/>
        <v>100</v>
      </c>
      <c r="E6">
        <f t="shared" si="2"/>
        <v>100</v>
      </c>
      <c r="F6">
        <f t="shared" si="2"/>
        <v>100</v>
      </c>
      <c r="G6">
        <f t="shared" si="2"/>
        <v>100</v>
      </c>
      <c r="H6">
        <f t="shared" si="2"/>
        <v>100</v>
      </c>
      <c r="I6">
        <f t="shared" si="2"/>
        <v>100</v>
      </c>
    </row>
    <row r="7" spans="1:9">
      <c r="A7" t="s">
        <v>13</v>
      </c>
      <c r="B7" s="1">
        <f>MAX(NORMINV((B2/(B2+B3)),B5,B6),0)</f>
        <v>49.999999999999986</v>
      </c>
      <c r="C7" s="1">
        <f t="shared" ref="C7:I7" si="3">MAX(NORMINV((C2/(C2+C3)),C5,C6),0)</f>
        <v>38.58147056785716</v>
      </c>
      <c r="D7" s="1">
        <f t="shared" si="3"/>
        <v>28.957160575207531</v>
      </c>
      <c r="E7" s="1">
        <f t="shared" si="3"/>
        <v>20.661876787880672</v>
      </c>
      <c r="F7" s="1">
        <f t="shared" si="3"/>
        <v>13.389364319943034</v>
      </c>
      <c r="G7" s="1">
        <f t="shared" si="3"/>
        <v>6.9272700704542487</v>
      </c>
      <c r="H7" s="1">
        <f t="shared" si="3"/>
        <v>1.12235888853305</v>
      </c>
      <c r="I7" s="1">
        <f t="shared" si="3"/>
        <v>0</v>
      </c>
    </row>
    <row r="8" spans="1:9">
      <c r="A8" t="s">
        <v>165</v>
      </c>
      <c r="B8" s="2">
        <f>B4+B7</f>
        <v>150</v>
      </c>
      <c r="C8" s="2">
        <f t="shared" ref="C8:I8" si="4">C4+C7</f>
        <v>138.58147056785717</v>
      </c>
      <c r="D8" s="2">
        <f t="shared" si="4"/>
        <v>128.95716057520752</v>
      </c>
      <c r="E8" s="2">
        <f t="shared" si="4"/>
        <v>120.66187678788067</v>
      </c>
      <c r="F8" s="2">
        <f t="shared" si="4"/>
        <v>113.38936431994304</v>
      </c>
      <c r="G8" s="2">
        <f t="shared" si="4"/>
        <v>106.92727007045426</v>
      </c>
      <c r="H8" s="2">
        <f t="shared" si="4"/>
        <v>101.12235888853306</v>
      </c>
      <c r="I8" s="2">
        <f t="shared" si="4"/>
        <v>100</v>
      </c>
    </row>
    <row r="9" spans="1:9">
      <c r="A9" t="s">
        <v>13</v>
      </c>
      <c r="B9" s="1" t="s">
        <v>168</v>
      </c>
      <c r="H9" t="s">
        <v>211</v>
      </c>
    </row>
  </sheetData>
  <printOptions horizontalCentered="1" headings="1"/>
  <pageMargins left="0.7" right="0.7" top="0.75" bottom="0.75" header="0.3" footer="0.3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GUIDE</vt:lpstr>
      <vt:lpstr>SHORT CALL</vt:lpstr>
      <vt:lpstr>LONG CALL</vt:lpstr>
      <vt:lpstr>SHORT PUT</vt:lpstr>
      <vt:lpstr>LONG PUT</vt:lpstr>
      <vt:lpstr>Multiple Switches</vt:lpstr>
      <vt:lpstr>MS Correlation</vt:lpstr>
      <vt:lpstr>Single Switch</vt:lpstr>
      <vt:lpstr>Capacity Allocation, Vary Vol</vt:lpstr>
      <vt:lpstr>Capacity Allocation, Vary Fares</vt:lpstr>
      <vt:lpstr>SimpleNoShows</vt:lpstr>
      <vt:lpstr>SNS Vary Mean </vt:lpstr>
      <vt:lpstr>SNS Vary Vol</vt:lpstr>
      <vt:lpstr>SNS Vary COM</vt:lpstr>
      <vt:lpstr>Exercise 13.1</vt:lpstr>
      <vt:lpstr>Exercise 13.2</vt:lpstr>
      <vt:lpstr>Exercise 13.3</vt:lpstr>
      <vt:lpstr>Problem 13.4</vt:lpstr>
      <vt:lpstr>Problem 13.5</vt:lpstr>
      <vt:lpstr>Problem 13.6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2015-02-23T11:45:58Z</cp:lastPrinted>
  <dcterms:created xsi:type="dcterms:W3CDTF">2014-12-02T01:38:44Z</dcterms:created>
  <dcterms:modified xsi:type="dcterms:W3CDTF">2015-03-09T14:53:29Z</dcterms:modified>
</cp:coreProperties>
</file>